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m\Desktop\"/>
    </mc:Choice>
  </mc:AlternateContent>
  <bookViews>
    <workbookView xWindow="0" yWindow="0" windowWidth="16170" windowHeight="5970" tabRatio="878" activeTab="19"/>
  </bookViews>
  <sheets>
    <sheet name="Arpa K" sheetId="2" r:id="rId1"/>
    <sheet name="Arpa S" sheetId="4" r:id="rId2"/>
    <sheet name="Buğday K" sheetId="3" r:id="rId3"/>
    <sheet name="Buğday S" sheetId="5" r:id="rId4"/>
    <sheet name="Çavdar" sheetId="26" r:id="rId5"/>
    <sheet name="Pancar" sheetId="10" r:id="rId6"/>
    <sheet name="Ayçiçeği S" sheetId="8" r:id="rId7"/>
    <sheet name="Nohut K" sheetId="6" r:id="rId8"/>
    <sheet name="Y.Mercimek K" sheetId="17" r:id="rId9"/>
    <sheet name="S.Mısır" sheetId="27" r:id="rId10"/>
    <sheet name="D.Mısır S " sheetId="15" r:id="rId11"/>
    <sheet name="Domates" sheetId="18" r:id="rId12"/>
    <sheet name="Fasulye S" sheetId="7" r:id="rId13"/>
    <sheet name="Haşhaş K" sheetId="19" r:id="rId14"/>
    <sheet name="Kanola S" sheetId="24" r:id="rId15"/>
    <sheet name="Aspir K" sheetId="22" r:id="rId16"/>
    <sheet name="Aspir S" sheetId="23" r:id="rId17"/>
    <sheet name="Patates" sheetId="25" r:id="rId18"/>
    <sheet name="K.Soğan S" sheetId="21" r:id="rId19"/>
    <sheet name="Maliyet" sheetId="14" r:id="rId20"/>
  </sheets>
  <definedNames>
    <definedName name="_xlnm.Print_Area" localSheetId="0">'Arpa K'!$B$1:$K$47</definedName>
    <definedName name="_xlnm.Print_Area" localSheetId="1">'Arpa S'!$B$1:$K$50</definedName>
    <definedName name="_xlnm.Print_Area" localSheetId="15">'Aspir K'!$B$1:$K$49</definedName>
    <definedName name="_xlnm.Print_Area" localSheetId="16">'Aspir S'!$B$1:$K$51</definedName>
    <definedName name="_xlnm.Print_Area" localSheetId="6">'Ayçiçeği S'!$B$1:$K$52</definedName>
    <definedName name="_xlnm.Print_Area" localSheetId="2">'Buğday K'!$B$1:$K$49</definedName>
    <definedName name="_xlnm.Print_Area" localSheetId="3">'Buğday S'!$B$1:$K$52</definedName>
    <definedName name="_xlnm.Print_Area" localSheetId="10">'D.Mısır S '!$B$1:$K$52</definedName>
    <definedName name="_xlnm.Print_Area" localSheetId="11">Domates!$B$1:$K$50</definedName>
    <definedName name="_xlnm.Print_Area" localSheetId="12">'Fasulye S'!$B$1:$K$52</definedName>
    <definedName name="_xlnm.Print_Area" localSheetId="13">'Haşhaş K'!$B$1:$K$49</definedName>
    <definedName name="_xlnm.Print_Area" localSheetId="18">'K.Soğan S'!$B$1:$K$53</definedName>
    <definedName name="_xlnm.Print_Area" localSheetId="14">'Kanola S'!$B$1:$K$50</definedName>
    <definedName name="_xlnm.Print_Area" localSheetId="19">Maliyet!$B$2:$N$25</definedName>
    <definedName name="_xlnm.Print_Area" localSheetId="7">'Nohut K'!$B$1:$K$47</definedName>
    <definedName name="_xlnm.Print_Area" localSheetId="5">Pancar!$B$1:$K$53</definedName>
    <definedName name="_xlnm.Print_Area" localSheetId="8">'Y.Mercimek K'!$B$1:$K$47</definedName>
    <definedName name="Z_8B6B86C0_2F1B_11D5_9D92_00606708EF55_.wvu.PrintArea" localSheetId="0" hidden="1">'Arpa K'!$B$1:$K$43</definedName>
    <definedName name="Z_8B6B86C0_2F1B_11D5_9D92_00606708EF55_.wvu.PrintArea" localSheetId="1" hidden="1">'Arpa S'!$B$1:$K$47</definedName>
    <definedName name="Z_8B6B86C0_2F1B_11D5_9D92_00606708EF55_.wvu.PrintArea" localSheetId="6" hidden="1">'Ayçiçeği S'!$B$1:$K$45</definedName>
    <definedName name="Z_8B6B86C0_2F1B_11D5_9D92_00606708EF55_.wvu.PrintArea" localSheetId="2" hidden="1">'Buğday K'!$B$1:$K$45</definedName>
    <definedName name="Z_8B6B86C0_2F1B_11D5_9D92_00606708EF55_.wvu.PrintArea" localSheetId="3" hidden="1">'Buğday S'!$B$1:$K$49</definedName>
    <definedName name="Z_8B6B86C0_2F1B_11D5_9D92_00606708EF55_.wvu.PrintArea" localSheetId="12" hidden="1">'Fasulye S'!$B$1:$K$45</definedName>
    <definedName name="Z_8B6B86C0_2F1B_11D5_9D92_00606708EF55_.wvu.PrintArea" localSheetId="19" hidden="1">Maliyet!$B$2:$L$17</definedName>
    <definedName name="Z_8B6B86C0_2F1B_11D5_9D92_00606708EF55_.wvu.PrintArea" localSheetId="7" hidden="1">'Nohut K'!$B$1:$K$37</definedName>
    <definedName name="Z_8B6B86C0_2F1B_11D5_9D92_00606708EF55_.wvu.PrintArea" localSheetId="5" hidden="1">Pancar!$B$1:$K$50</definedName>
  </definedNames>
  <calcPr calcId="162913"/>
  <customWorkbookViews>
    <customWorkbookView name="Erhan Türkseven - Kişisel Görünüm" guid="{8B6B86C0-2F1B-11D5-9D92-00606708EF55}" mergeInterval="0" personalView="1" maximized="1" windowWidth="794" windowHeight="438" tabRatio="1000" activeSheetId="14"/>
  </customWorkbookViews>
</workbook>
</file>

<file path=xl/calcChain.xml><?xml version="1.0" encoding="utf-8"?>
<calcChain xmlns="http://schemas.openxmlformats.org/spreadsheetml/2006/main">
  <c r="N19" i="14" l="1"/>
  <c r="I21" i="22" l="1"/>
  <c r="J37" i="27"/>
  <c r="I32" i="27"/>
  <c r="J32" i="27" s="1"/>
  <c r="I31" i="27"/>
  <c r="J31" i="27" s="1"/>
  <c r="P30" i="27"/>
  <c r="J30" i="27"/>
  <c r="I30" i="27"/>
  <c r="P29" i="27"/>
  <c r="I29" i="27"/>
  <c r="G29" i="27"/>
  <c r="I28" i="27"/>
  <c r="G28" i="27"/>
  <c r="J28" i="27" s="1"/>
  <c r="I27" i="27"/>
  <c r="G27" i="27"/>
  <c r="F25" i="27"/>
  <c r="E25" i="27"/>
  <c r="I24" i="27"/>
  <c r="J24" i="27" s="1"/>
  <c r="I23" i="27"/>
  <c r="J23" i="27" s="1"/>
  <c r="I22" i="27"/>
  <c r="J22" i="27" s="1"/>
  <c r="F20" i="27"/>
  <c r="E20" i="27"/>
  <c r="I19" i="27"/>
  <c r="J19" i="27" s="1"/>
  <c r="J18" i="27"/>
  <c r="I18" i="27"/>
  <c r="I17" i="27"/>
  <c r="J17" i="27" s="1"/>
  <c r="J16" i="27"/>
  <c r="I16" i="27"/>
  <c r="I15" i="27"/>
  <c r="J15" i="27" s="1"/>
  <c r="J14" i="27"/>
  <c r="I14" i="27"/>
  <c r="F12" i="27"/>
  <c r="E12" i="27"/>
  <c r="J11" i="27"/>
  <c r="I11" i="27"/>
  <c r="I10" i="27"/>
  <c r="J10" i="27" s="1"/>
  <c r="I9" i="27"/>
  <c r="J9" i="27" s="1"/>
  <c r="I8" i="27"/>
  <c r="J8" i="27" s="1"/>
  <c r="I7" i="27"/>
  <c r="J7" i="27" s="1"/>
  <c r="P12" i="4"/>
  <c r="P13" i="4"/>
  <c r="P14" i="4"/>
  <c r="P16" i="4"/>
  <c r="P17" i="4"/>
  <c r="J20" i="27" l="1"/>
  <c r="J27" i="27"/>
  <c r="J29" i="27"/>
  <c r="J33" i="27" s="1"/>
  <c r="J12" i="27"/>
  <c r="J25" i="27"/>
  <c r="M11" i="14"/>
  <c r="N11" i="14" s="1"/>
  <c r="K11" i="14"/>
  <c r="J11" i="14"/>
  <c r="I11" i="14"/>
  <c r="H11" i="14"/>
  <c r="G11" i="14"/>
  <c r="F11" i="14"/>
  <c r="E11" i="14"/>
  <c r="D11" i="14"/>
  <c r="J34" i="27" l="1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0" i="14"/>
  <c r="K9" i="14"/>
  <c r="K8" i="14"/>
  <c r="K7" i="14"/>
  <c r="J39" i="25"/>
  <c r="J34" i="25"/>
  <c r="I34" i="25"/>
  <c r="I33" i="25"/>
  <c r="J33" i="25" s="1"/>
  <c r="P32" i="25"/>
  <c r="J32" i="25"/>
  <c r="I32" i="25"/>
  <c r="P31" i="25"/>
  <c r="I31" i="25"/>
  <c r="J31" i="25" s="1"/>
  <c r="I30" i="25"/>
  <c r="J30" i="25" s="1"/>
  <c r="I29" i="25"/>
  <c r="G29" i="25"/>
  <c r="F27" i="25"/>
  <c r="E27" i="25"/>
  <c r="I26" i="25"/>
  <c r="G26" i="25"/>
  <c r="I25" i="25"/>
  <c r="J25" i="25" s="1"/>
  <c r="I24" i="25"/>
  <c r="J24" i="25" s="1"/>
  <c r="I23" i="25"/>
  <c r="J23" i="25" s="1"/>
  <c r="F21" i="25"/>
  <c r="E21" i="25"/>
  <c r="I20" i="25"/>
  <c r="J20" i="25" s="1"/>
  <c r="I19" i="25"/>
  <c r="J19" i="25" s="1"/>
  <c r="I18" i="25"/>
  <c r="J18" i="25" s="1"/>
  <c r="I17" i="25"/>
  <c r="J17" i="25" s="1"/>
  <c r="I16" i="25"/>
  <c r="J16" i="25" s="1"/>
  <c r="I15" i="25"/>
  <c r="J15" i="25" s="1"/>
  <c r="F13" i="25"/>
  <c r="E13" i="25"/>
  <c r="J12" i="25"/>
  <c r="I12" i="25"/>
  <c r="I11" i="25"/>
  <c r="J11" i="25" s="1"/>
  <c r="I10" i="25"/>
  <c r="J10" i="25" s="1"/>
  <c r="I9" i="25"/>
  <c r="J9" i="25" s="1"/>
  <c r="I8" i="25"/>
  <c r="J8" i="25" s="1"/>
  <c r="I7" i="25"/>
  <c r="J7" i="25" s="1"/>
  <c r="J26" i="25" l="1"/>
  <c r="J13" i="25"/>
  <c r="D24" i="14" s="1"/>
  <c r="J36" i="27"/>
  <c r="J38" i="27" s="1"/>
  <c r="J39" i="27"/>
  <c r="J27" i="25"/>
  <c r="F24" i="14" s="1"/>
  <c r="J29" i="25"/>
  <c r="J35" i="25" s="1"/>
  <c r="G24" i="14" s="1"/>
  <c r="J21" i="25"/>
  <c r="E24" i="14" s="1"/>
  <c r="P30" i="15"/>
  <c r="F20" i="10"/>
  <c r="G27" i="10"/>
  <c r="G28" i="10"/>
  <c r="G29" i="10"/>
  <c r="G30" i="10"/>
  <c r="J30" i="5"/>
  <c r="J38" i="8"/>
  <c r="J9" i="5"/>
  <c r="I9" i="5"/>
  <c r="F24" i="5"/>
  <c r="E24" i="5"/>
  <c r="F19" i="5"/>
  <c r="E19" i="5"/>
  <c r="F12" i="5"/>
  <c r="E12" i="5"/>
  <c r="G27" i="3"/>
  <c r="G25" i="3"/>
  <c r="J9" i="3"/>
  <c r="I9" i="3"/>
  <c r="G27" i="4"/>
  <c r="G26" i="4"/>
  <c r="G25" i="4"/>
  <c r="J9" i="2"/>
  <c r="P28" i="2"/>
  <c r="P29" i="2"/>
  <c r="J40" i="27" l="1"/>
  <c r="J41" i="27" s="1"/>
  <c r="E45" i="27" s="1"/>
  <c r="E46" i="27" s="1"/>
  <c r="E47" i="27" s="1"/>
  <c r="H24" i="14"/>
  <c r="J36" i="25"/>
  <c r="J38" i="25" s="1"/>
  <c r="P28" i="22"/>
  <c r="I15" i="24"/>
  <c r="J15" i="24" s="1"/>
  <c r="I15" i="5"/>
  <c r="J15" i="5" s="1"/>
  <c r="I17" i="3"/>
  <c r="J17" i="3" s="1"/>
  <c r="I15" i="3"/>
  <c r="J15" i="3" s="1"/>
  <c r="I17" i="4"/>
  <c r="J17" i="4" s="1"/>
  <c r="I15" i="4"/>
  <c r="J15" i="4" s="1"/>
  <c r="I17" i="2"/>
  <c r="J17" i="2" s="1"/>
  <c r="I15" i="2"/>
  <c r="J15" i="2" s="1"/>
  <c r="I17" i="5"/>
  <c r="J17" i="5" s="1"/>
  <c r="I18" i="24"/>
  <c r="J18" i="24" s="1"/>
  <c r="I16" i="24"/>
  <c r="J16" i="24" s="1"/>
  <c r="I14" i="24"/>
  <c r="J14" i="24" s="1"/>
  <c r="J33" i="6"/>
  <c r="G28" i="8"/>
  <c r="I18" i="5"/>
  <c r="J18" i="5" s="1"/>
  <c r="I16" i="5"/>
  <c r="I14" i="5"/>
  <c r="J14" i="5" s="1"/>
  <c r="I16" i="3"/>
  <c r="I14" i="3"/>
  <c r="J14" i="3" s="1"/>
  <c r="I18" i="4"/>
  <c r="J18" i="4"/>
  <c r="I16" i="4"/>
  <c r="J16" i="4" s="1"/>
  <c r="I14" i="4"/>
  <c r="J14" i="4"/>
  <c r="I21" i="2"/>
  <c r="J21" i="2" s="1"/>
  <c r="I16" i="2"/>
  <c r="I14" i="2"/>
  <c r="J14" i="2" s="1"/>
  <c r="I7" i="21"/>
  <c r="J7" i="21" s="1"/>
  <c r="I10" i="21"/>
  <c r="J10" i="21" s="1"/>
  <c r="I11" i="21"/>
  <c r="J11" i="21" s="1"/>
  <c r="I8" i="21"/>
  <c r="J8" i="21" s="1"/>
  <c r="I9" i="21"/>
  <c r="J9" i="21" s="1"/>
  <c r="J12" i="21"/>
  <c r="I15" i="21"/>
  <c r="J15" i="21" s="1"/>
  <c r="I17" i="21"/>
  <c r="J17" i="21" s="1"/>
  <c r="I19" i="21"/>
  <c r="J19" i="21" s="1"/>
  <c r="I16" i="21"/>
  <c r="J16" i="21" s="1"/>
  <c r="I18" i="21"/>
  <c r="J18" i="21" s="1"/>
  <c r="I20" i="21"/>
  <c r="J20" i="21" s="1"/>
  <c r="I23" i="21"/>
  <c r="J23" i="21" s="1"/>
  <c r="I24" i="21"/>
  <c r="J24" i="21" s="1"/>
  <c r="I25" i="21"/>
  <c r="J25" i="21" s="1"/>
  <c r="I29" i="21"/>
  <c r="G29" i="21"/>
  <c r="J29" i="21"/>
  <c r="I30" i="21"/>
  <c r="J30" i="21" s="1"/>
  <c r="I31" i="21"/>
  <c r="J31" i="21"/>
  <c r="J32" i="21"/>
  <c r="I33" i="21"/>
  <c r="J33" i="21" s="1"/>
  <c r="J34" i="21"/>
  <c r="J39" i="21"/>
  <c r="I7" i="23"/>
  <c r="J7" i="23" s="1"/>
  <c r="J12" i="23" s="1"/>
  <c r="D22" i="14" s="1"/>
  <c r="I8" i="23"/>
  <c r="J8" i="23" s="1"/>
  <c r="I9" i="23"/>
  <c r="J9" i="23" s="1"/>
  <c r="I10" i="23"/>
  <c r="J10" i="23" s="1"/>
  <c r="J11" i="23"/>
  <c r="I14" i="23"/>
  <c r="J14" i="23" s="1"/>
  <c r="I16" i="23"/>
  <c r="J16" i="23" s="1"/>
  <c r="I18" i="23"/>
  <c r="J18" i="23" s="1"/>
  <c r="I15" i="23"/>
  <c r="J15" i="23" s="1"/>
  <c r="I17" i="23"/>
  <c r="J17" i="23" s="1"/>
  <c r="I21" i="23"/>
  <c r="J21" i="23" s="1"/>
  <c r="I22" i="23"/>
  <c r="J22" i="23" s="1"/>
  <c r="I23" i="23"/>
  <c r="J23" i="23" s="1"/>
  <c r="I26" i="23"/>
  <c r="G26" i="23"/>
  <c r="I27" i="23"/>
  <c r="G27" i="23"/>
  <c r="J27" i="23" s="1"/>
  <c r="I28" i="23"/>
  <c r="G28" i="23"/>
  <c r="I29" i="23"/>
  <c r="J29" i="23" s="1"/>
  <c r="I30" i="23"/>
  <c r="J30" i="23" s="1"/>
  <c r="J36" i="23"/>
  <c r="I7" i="22"/>
  <c r="J7" i="22" s="1"/>
  <c r="I8" i="22"/>
  <c r="J8" i="22" s="1"/>
  <c r="I9" i="22"/>
  <c r="J9" i="22" s="1"/>
  <c r="I10" i="22"/>
  <c r="J10" i="22" s="1"/>
  <c r="J11" i="22"/>
  <c r="J14" i="22"/>
  <c r="I16" i="22"/>
  <c r="J16" i="22" s="1"/>
  <c r="J15" i="22"/>
  <c r="I17" i="22"/>
  <c r="J17" i="22"/>
  <c r="I20" i="22"/>
  <c r="J20" i="22" s="1"/>
  <c r="J21" i="22"/>
  <c r="I22" i="22"/>
  <c r="J22" i="22" s="1"/>
  <c r="I25" i="22"/>
  <c r="G25" i="22"/>
  <c r="J25" i="22" s="1"/>
  <c r="I26" i="22"/>
  <c r="G26" i="22"/>
  <c r="I27" i="22"/>
  <c r="G27" i="22"/>
  <c r="J27" i="22" s="1"/>
  <c r="I28" i="22"/>
  <c r="J28" i="22" s="1"/>
  <c r="I29" i="22"/>
  <c r="J29" i="22" s="1"/>
  <c r="J34" i="22"/>
  <c r="I7" i="24"/>
  <c r="J7" i="24" s="1"/>
  <c r="I8" i="24"/>
  <c r="J8" i="24" s="1"/>
  <c r="I9" i="24"/>
  <c r="J9" i="24" s="1"/>
  <c r="I10" i="24"/>
  <c r="J10" i="24" s="1"/>
  <c r="J11" i="24"/>
  <c r="I17" i="24"/>
  <c r="J17" i="24" s="1"/>
  <c r="I21" i="24"/>
  <c r="J21" i="24" s="1"/>
  <c r="I22" i="24"/>
  <c r="J22" i="24" s="1"/>
  <c r="I23" i="24"/>
  <c r="J23" i="24" s="1"/>
  <c r="I26" i="24"/>
  <c r="G26" i="24"/>
  <c r="I27" i="24"/>
  <c r="J27" i="24" s="1"/>
  <c r="G27" i="24"/>
  <c r="I28" i="24"/>
  <c r="G28" i="24"/>
  <c r="I29" i="24"/>
  <c r="J29" i="24" s="1"/>
  <c r="I30" i="24"/>
  <c r="J30" i="24" s="1"/>
  <c r="J36" i="24"/>
  <c r="I7" i="19"/>
  <c r="J7" i="19" s="1"/>
  <c r="J12" i="19" s="1"/>
  <c r="D19" i="14" s="1"/>
  <c r="I8" i="19"/>
  <c r="J8" i="19" s="1"/>
  <c r="I9" i="19"/>
  <c r="J9" i="19" s="1"/>
  <c r="I10" i="19"/>
  <c r="J10" i="19" s="1"/>
  <c r="J11" i="19"/>
  <c r="I14" i="19"/>
  <c r="J14" i="19"/>
  <c r="I15" i="19"/>
  <c r="J15" i="19" s="1"/>
  <c r="I16" i="19"/>
  <c r="J16" i="19" s="1"/>
  <c r="I17" i="19"/>
  <c r="J17" i="19" s="1"/>
  <c r="I20" i="19"/>
  <c r="J20" i="19" s="1"/>
  <c r="I21" i="19"/>
  <c r="J21" i="19" s="1"/>
  <c r="I22" i="19"/>
  <c r="J22" i="19" s="1"/>
  <c r="I25" i="19"/>
  <c r="G25" i="19"/>
  <c r="I26" i="19"/>
  <c r="G26" i="19"/>
  <c r="I27" i="19"/>
  <c r="G27" i="19"/>
  <c r="I28" i="19"/>
  <c r="J28" i="19" s="1"/>
  <c r="I29" i="19"/>
  <c r="J29" i="19" s="1"/>
  <c r="J34" i="19"/>
  <c r="I7" i="7"/>
  <c r="J7" i="7" s="1"/>
  <c r="I8" i="7"/>
  <c r="J8" i="7" s="1"/>
  <c r="I9" i="7"/>
  <c r="J9" i="7" s="1"/>
  <c r="I10" i="7"/>
  <c r="J10" i="7" s="1"/>
  <c r="J11" i="7"/>
  <c r="I14" i="7"/>
  <c r="J14" i="7" s="1"/>
  <c r="I18" i="7"/>
  <c r="J18" i="7" s="1"/>
  <c r="I15" i="7"/>
  <c r="J15" i="7"/>
  <c r="J16" i="7"/>
  <c r="I17" i="7"/>
  <c r="J17" i="7" s="1"/>
  <c r="I21" i="7"/>
  <c r="J21" i="7" s="1"/>
  <c r="I22" i="7"/>
  <c r="J22" i="7" s="1"/>
  <c r="I23" i="7"/>
  <c r="J23" i="7" s="1"/>
  <c r="I26" i="7"/>
  <c r="G26" i="7"/>
  <c r="I27" i="7"/>
  <c r="G27" i="7"/>
  <c r="I28" i="7"/>
  <c r="J28" i="7" s="1"/>
  <c r="G28" i="7"/>
  <c r="J29" i="7"/>
  <c r="I30" i="7"/>
  <c r="J30" i="7" s="1"/>
  <c r="I31" i="7"/>
  <c r="G31" i="7"/>
  <c r="J31" i="7" s="1"/>
  <c r="J32" i="7"/>
  <c r="J37" i="7"/>
  <c r="I7" i="18"/>
  <c r="J7" i="18" s="1"/>
  <c r="I8" i="18"/>
  <c r="J8" i="18" s="1"/>
  <c r="I9" i="18"/>
  <c r="J9" i="18" s="1"/>
  <c r="I10" i="18"/>
  <c r="J10" i="18" s="1"/>
  <c r="I11" i="18"/>
  <c r="J11" i="18" s="1"/>
  <c r="I17" i="18"/>
  <c r="J17" i="18" s="1"/>
  <c r="I18" i="18"/>
  <c r="J18" i="18" s="1"/>
  <c r="I14" i="18"/>
  <c r="J14" i="18" s="1"/>
  <c r="I15" i="18"/>
  <c r="J15" i="18" s="1"/>
  <c r="I16" i="18"/>
  <c r="J16" i="18" s="1"/>
  <c r="I21" i="18"/>
  <c r="J21" i="18" s="1"/>
  <c r="J24" i="18" s="1"/>
  <c r="F17" i="14" s="1"/>
  <c r="I22" i="18"/>
  <c r="J22" i="18" s="1"/>
  <c r="I23" i="18"/>
  <c r="J23" i="18" s="1"/>
  <c r="I26" i="18"/>
  <c r="G26" i="18"/>
  <c r="J26" i="18" s="1"/>
  <c r="I27" i="18"/>
  <c r="G27" i="18"/>
  <c r="I28" i="18"/>
  <c r="G28" i="18"/>
  <c r="J28" i="18"/>
  <c r="J29" i="18"/>
  <c r="I30" i="18"/>
  <c r="J30" i="18" s="1"/>
  <c r="J31" i="18"/>
  <c r="J36" i="18"/>
  <c r="I7" i="15"/>
  <c r="J7" i="15" s="1"/>
  <c r="I8" i="15"/>
  <c r="J8" i="15" s="1"/>
  <c r="J12" i="15" s="1"/>
  <c r="D16" i="14" s="1"/>
  <c r="I9" i="15"/>
  <c r="J9" i="15" s="1"/>
  <c r="I10" i="15"/>
  <c r="J10" i="15" s="1"/>
  <c r="J11" i="15"/>
  <c r="I14" i="15"/>
  <c r="J14" i="15" s="1"/>
  <c r="I16" i="15"/>
  <c r="J16" i="15" s="1"/>
  <c r="I19" i="15"/>
  <c r="J19" i="15" s="1"/>
  <c r="I15" i="15"/>
  <c r="J15" i="15" s="1"/>
  <c r="I17" i="15"/>
  <c r="J17" i="15" s="1"/>
  <c r="I18" i="15"/>
  <c r="J18" i="15" s="1"/>
  <c r="I22" i="15"/>
  <c r="J22" i="15" s="1"/>
  <c r="I23" i="15"/>
  <c r="J23" i="15" s="1"/>
  <c r="I24" i="15"/>
  <c r="J24" i="15" s="1"/>
  <c r="I27" i="15"/>
  <c r="G27" i="15"/>
  <c r="I28" i="15"/>
  <c r="G28" i="15"/>
  <c r="J28" i="15" s="1"/>
  <c r="I29" i="15"/>
  <c r="G29" i="15"/>
  <c r="J30" i="15"/>
  <c r="I31" i="15"/>
  <c r="J31" i="15" s="1"/>
  <c r="J37" i="15"/>
  <c r="I25" i="17"/>
  <c r="G25" i="17"/>
  <c r="I24" i="17"/>
  <c r="G24" i="17"/>
  <c r="I26" i="17"/>
  <c r="J26" i="17" s="1"/>
  <c r="I27" i="17"/>
  <c r="J27" i="17" s="1"/>
  <c r="I28" i="17"/>
  <c r="J28" i="17" s="1"/>
  <c r="I7" i="17"/>
  <c r="J7" i="17" s="1"/>
  <c r="I8" i="17"/>
  <c r="J8" i="17" s="1"/>
  <c r="I9" i="17"/>
  <c r="J9" i="17" s="1"/>
  <c r="J10" i="17"/>
  <c r="I13" i="17"/>
  <c r="J13" i="17"/>
  <c r="I15" i="17"/>
  <c r="J15" i="17" s="1"/>
  <c r="I14" i="17"/>
  <c r="J14" i="17" s="1"/>
  <c r="I16" i="17"/>
  <c r="J16" i="17" s="1"/>
  <c r="I19" i="17"/>
  <c r="J19" i="17" s="1"/>
  <c r="J20" i="17"/>
  <c r="I21" i="17"/>
  <c r="J21" i="17" s="1"/>
  <c r="J33" i="17"/>
  <c r="I7" i="6"/>
  <c r="J7" i="6" s="1"/>
  <c r="I8" i="6"/>
  <c r="J8" i="6"/>
  <c r="I9" i="6"/>
  <c r="J9" i="6"/>
  <c r="J10" i="6"/>
  <c r="I13" i="6"/>
  <c r="J13" i="6" s="1"/>
  <c r="I15" i="6"/>
  <c r="J15" i="6"/>
  <c r="I14" i="6"/>
  <c r="J14" i="6"/>
  <c r="I16" i="6"/>
  <c r="J16" i="6"/>
  <c r="I19" i="6"/>
  <c r="J19" i="6"/>
  <c r="J20" i="6"/>
  <c r="I21" i="6"/>
  <c r="J21" i="6" s="1"/>
  <c r="J22" i="6" s="1"/>
  <c r="F14" i="14" s="1"/>
  <c r="I24" i="6"/>
  <c r="G24" i="6"/>
  <c r="I25" i="6"/>
  <c r="J25" i="6" s="1"/>
  <c r="I26" i="6"/>
  <c r="J26" i="6" s="1"/>
  <c r="I27" i="6"/>
  <c r="J27" i="6" s="1"/>
  <c r="I28" i="6"/>
  <c r="J28" i="6" s="1"/>
  <c r="I7" i="8"/>
  <c r="J7" i="8" s="1"/>
  <c r="I8" i="8"/>
  <c r="J8" i="8" s="1"/>
  <c r="I9" i="8"/>
  <c r="J9" i="8" s="1"/>
  <c r="I10" i="8"/>
  <c r="J10" i="8" s="1"/>
  <c r="J11" i="8"/>
  <c r="I14" i="8"/>
  <c r="J14" i="8" s="1"/>
  <c r="I16" i="8"/>
  <c r="J16" i="8" s="1"/>
  <c r="I19" i="8"/>
  <c r="J19" i="8" s="1"/>
  <c r="I15" i="8"/>
  <c r="J15" i="8" s="1"/>
  <c r="I17" i="8"/>
  <c r="J17" i="8"/>
  <c r="I18" i="8"/>
  <c r="J18" i="8" s="1"/>
  <c r="I22" i="8"/>
  <c r="J22" i="8" s="1"/>
  <c r="I23" i="8"/>
  <c r="J23" i="8" s="1"/>
  <c r="I24" i="8"/>
  <c r="J24" i="8" s="1"/>
  <c r="I28" i="8"/>
  <c r="J28" i="8" s="1"/>
  <c r="I29" i="8"/>
  <c r="G29" i="8"/>
  <c r="I30" i="8"/>
  <c r="G30" i="8"/>
  <c r="J30" i="8" s="1"/>
  <c r="J31" i="8"/>
  <c r="J32" i="8"/>
  <c r="J33" i="8"/>
  <c r="I7" i="10"/>
  <c r="J7" i="10" s="1"/>
  <c r="I8" i="10"/>
  <c r="J8" i="10" s="1"/>
  <c r="I9" i="10"/>
  <c r="J9" i="10" s="1"/>
  <c r="I10" i="10"/>
  <c r="J10" i="10" s="1"/>
  <c r="J11" i="10"/>
  <c r="I14" i="10"/>
  <c r="J14" i="10" s="1"/>
  <c r="I16" i="10"/>
  <c r="J16" i="10" s="1"/>
  <c r="I18" i="10"/>
  <c r="J18" i="10" s="1"/>
  <c r="I15" i="10"/>
  <c r="J15" i="10" s="1"/>
  <c r="I17" i="10"/>
  <c r="J17" i="10" s="1"/>
  <c r="I19" i="10"/>
  <c r="J19" i="10" s="1"/>
  <c r="I22" i="10"/>
  <c r="J22" i="10"/>
  <c r="I23" i="10"/>
  <c r="J23" i="10" s="1"/>
  <c r="I24" i="10"/>
  <c r="J24" i="10" s="1"/>
  <c r="I27" i="10"/>
  <c r="I28" i="10"/>
  <c r="J28" i="10" s="1"/>
  <c r="I29" i="10"/>
  <c r="J30" i="10"/>
  <c r="J31" i="10"/>
  <c r="I32" i="10"/>
  <c r="J32" i="10" s="1"/>
  <c r="J33" i="10"/>
  <c r="J38" i="10"/>
  <c r="I7" i="4"/>
  <c r="J7" i="4" s="1"/>
  <c r="I8" i="4"/>
  <c r="J8" i="4" s="1"/>
  <c r="I9" i="4"/>
  <c r="J9" i="4" s="1"/>
  <c r="I10" i="4"/>
  <c r="J10" i="4" s="1"/>
  <c r="J11" i="4"/>
  <c r="I21" i="4"/>
  <c r="J21" i="4" s="1"/>
  <c r="I22" i="4"/>
  <c r="J22" i="4" s="1"/>
  <c r="I23" i="4"/>
  <c r="J23" i="4" s="1"/>
  <c r="I26" i="4"/>
  <c r="J26" i="4" s="1"/>
  <c r="I27" i="4"/>
  <c r="I28" i="4"/>
  <c r="J28" i="4" s="1"/>
  <c r="J29" i="4"/>
  <c r="I30" i="4"/>
  <c r="J30" i="4" s="1"/>
  <c r="J31" i="4"/>
  <c r="J36" i="4"/>
  <c r="I7" i="2"/>
  <c r="J7" i="2" s="1"/>
  <c r="I8" i="2"/>
  <c r="J8" i="2" s="1"/>
  <c r="I9" i="2"/>
  <c r="I10" i="2"/>
  <c r="J10" i="2" s="1"/>
  <c r="J11" i="2"/>
  <c r="J16" i="2"/>
  <c r="I20" i="2"/>
  <c r="J20" i="2" s="1"/>
  <c r="I22" i="2"/>
  <c r="J22" i="2" s="1"/>
  <c r="I25" i="2"/>
  <c r="G25" i="2"/>
  <c r="J25" i="2" s="1"/>
  <c r="I26" i="2"/>
  <c r="G26" i="2"/>
  <c r="I27" i="2"/>
  <c r="G27" i="2"/>
  <c r="I28" i="2"/>
  <c r="J28" i="2" s="1"/>
  <c r="I29" i="2"/>
  <c r="J29" i="2" s="1"/>
  <c r="J34" i="2"/>
  <c r="I7" i="3"/>
  <c r="J7" i="3" s="1"/>
  <c r="I8" i="3"/>
  <c r="J8" i="3" s="1"/>
  <c r="I10" i="3"/>
  <c r="J10" i="3" s="1"/>
  <c r="J11" i="3"/>
  <c r="J16" i="3"/>
  <c r="I20" i="3"/>
  <c r="J20" i="3" s="1"/>
  <c r="I21" i="3"/>
  <c r="J21" i="3" s="1"/>
  <c r="I22" i="3"/>
  <c r="J22" i="3" s="1"/>
  <c r="I25" i="3"/>
  <c r="J25" i="3" s="1"/>
  <c r="I26" i="3"/>
  <c r="J26" i="3" s="1"/>
  <c r="I27" i="3"/>
  <c r="J27" i="3" s="1"/>
  <c r="I28" i="3"/>
  <c r="J28" i="3" s="1"/>
  <c r="J29" i="3"/>
  <c r="I30" i="3"/>
  <c r="J30" i="3"/>
  <c r="J35" i="3"/>
  <c r="I7" i="5"/>
  <c r="J7" i="5" s="1"/>
  <c r="I8" i="5"/>
  <c r="J8" i="5"/>
  <c r="I10" i="5"/>
  <c r="J10" i="5"/>
  <c r="J11" i="5"/>
  <c r="J16" i="5"/>
  <c r="I21" i="5"/>
  <c r="J21" i="5"/>
  <c r="J24" i="5" s="1"/>
  <c r="F10" i="14" s="1"/>
  <c r="I22" i="5"/>
  <c r="J22" i="5"/>
  <c r="I23" i="5"/>
  <c r="J23" i="5"/>
  <c r="I26" i="5"/>
  <c r="G26" i="5"/>
  <c r="I27" i="5"/>
  <c r="G27" i="5"/>
  <c r="I28" i="5"/>
  <c r="G28" i="5"/>
  <c r="I29" i="5"/>
  <c r="J29" i="5" s="1"/>
  <c r="I31" i="5"/>
  <c r="J31" i="5" s="1"/>
  <c r="J32" i="5"/>
  <c r="J37" i="5"/>
  <c r="I11" i="5"/>
  <c r="I11" i="3"/>
  <c r="I30" i="10"/>
  <c r="I26" i="21"/>
  <c r="G26" i="21"/>
  <c r="I34" i="21"/>
  <c r="P32" i="21"/>
  <c r="I32" i="21"/>
  <c r="P31" i="21"/>
  <c r="F27" i="21"/>
  <c r="E27" i="21"/>
  <c r="F21" i="21"/>
  <c r="E21" i="21"/>
  <c r="F13" i="21"/>
  <c r="E13" i="21"/>
  <c r="I12" i="21"/>
  <c r="J31" i="23"/>
  <c r="I31" i="23"/>
  <c r="P30" i="23"/>
  <c r="P29" i="23"/>
  <c r="F24" i="23"/>
  <c r="E24" i="23"/>
  <c r="F19" i="23"/>
  <c r="E19" i="23"/>
  <c r="F12" i="23"/>
  <c r="E12" i="23"/>
  <c r="I11" i="23"/>
  <c r="J31" i="24"/>
  <c r="I31" i="24"/>
  <c r="P30" i="24"/>
  <c r="P29" i="24"/>
  <c r="F24" i="24"/>
  <c r="E24" i="24"/>
  <c r="F19" i="24"/>
  <c r="E19" i="24"/>
  <c r="F12" i="24"/>
  <c r="E12" i="24"/>
  <c r="I11" i="24"/>
  <c r="I11" i="22"/>
  <c r="I11" i="19"/>
  <c r="I10" i="17"/>
  <c r="I11" i="15"/>
  <c r="I10" i="6"/>
  <c r="E11" i="6"/>
  <c r="F11" i="6"/>
  <c r="I11" i="8"/>
  <c r="I11" i="10"/>
  <c r="I11" i="4"/>
  <c r="I11" i="2"/>
  <c r="P29" i="17"/>
  <c r="P28" i="17"/>
  <c r="F22" i="17"/>
  <c r="E22" i="17"/>
  <c r="F17" i="17"/>
  <c r="E17" i="17"/>
  <c r="F11" i="17"/>
  <c r="E11" i="17"/>
  <c r="E26" i="8"/>
  <c r="E20" i="10"/>
  <c r="P29" i="19"/>
  <c r="P28" i="19"/>
  <c r="F23" i="19"/>
  <c r="E23" i="19"/>
  <c r="F18" i="19"/>
  <c r="E18" i="19"/>
  <c r="F12" i="19"/>
  <c r="E12" i="19"/>
  <c r="I33" i="8"/>
  <c r="P31" i="8"/>
  <c r="I31" i="8"/>
  <c r="P30" i="8"/>
  <c r="F26" i="8"/>
  <c r="F20" i="8"/>
  <c r="E20" i="8"/>
  <c r="F12" i="8"/>
  <c r="E12" i="8"/>
  <c r="I16" i="7"/>
  <c r="I32" i="7"/>
  <c r="P29" i="7"/>
  <c r="I29" i="7"/>
  <c r="P28" i="7"/>
  <c r="F24" i="7"/>
  <c r="E24" i="7"/>
  <c r="F19" i="7"/>
  <c r="E19" i="7"/>
  <c r="F12" i="7"/>
  <c r="E12" i="7"/>
  <c r="I11" i="7"/>
  <c r="I31" i="18"/>
  <c r="P29" i="18"/>
  <c r="I29" i="18"/>
  <c r="P28" i="18"/>
  <c r="F24" i="18"/>
  <c r="E24" i="18"/>
  <c r="F19" i="18"/>
  <c r="E19" i="18"/>
  <c r="F12" i="18"/>
  <c r="E12" i="18"/>
  <c r="I32" i="15"/>
  <c r="J32" i="15" s="1"/>
  <c r="I30" i="15"/>
  <c r="P29" i="15"/>
  <c r="F25" i="15"/>
  <c r="E25" i="15"/>
  <c r="F20" i="15"/>
  <c r="E20" i="15"/>
  <c r="F12" i="15"/>
  <c r="E12" i="15"/>
  <c r="I33" i="10"/>
  <c r="P30" i="10"/>
  <c r="I31" i="10"/>
  <c r="P29" i="10"/>
  <c r="F25" i="10"/>
  <c r="E25" i="10"/>
  <c r="F12" i="10"/>
  <c r="E12" i="10"/>
  <c r="I32" i="5"/>
  <c r="P29" i="5"/>
  <c r="I30" i="5"/>
  <c r="P28" i="5"/>
  <c r="P29" i="22"/>
  <c r="F23" i="22"/>
  <c r="E23" i="22"/>
  <c r="F18" i="22"/>
  <c r="E18" i="22"/>
  <c r="F12" i="22"/>
  <c r="E12" i="22"/>
  <c r="P29" i="6"/>
  <c r="P28" i="6"/>
  <c r="F22" i="6"/>
  <c r="E22" i="6"/>
  <c r="F17" i="6"/>
  <c r="E17" i="6"/>
  <c r="I29" i="3"/>
  <c r="P30" i="3"/>
  <c r="P29" i="3"/>
  <c r="F23" i="3"/>
  <c r="E23" i="3"/>
  <c r="F18" i="3"/>
  <c r="E18" i="3"/>
  <c r="F12" i="3"/>
  <c r="E12" i="3"/>
  <c r="F23" i="2"/>
  <c r="E23" i="2"/>
  <c r="F18" i="2"/>
  <c r="E18" i="2"/>
  <c r="F12" i="2"/>
  <c r="E12" i="2"/>
  <c r="I29" i="4"/>
  <c r="E12" i="4"/>
  <c r="F12" i="4"/>
  <c r="I31" i="4"/>
  <c r="P29" i="4"/>
  <c r="P28" i="4"/>
  <c r="F24" i="4"/>
  <c r="E24" i="4"/>
  <c r="F19" i="4"/>
  <c r="E19" i="4"/>
  <c r="J27" i="2"/>
  <c r="J24" i="7"/>
  <c r="F18" i="14" s="1"/>
  <c r="J27" i="21"/>
  <c r="F23" i="14" s="1"/>
  <c r="J21" i="21"/>
  <c r="E23" i="14" s="1"/>
  <c r="J27" i="5" l="1"/>
  <c r="J29" i="15"/>
  <c r="J26" i="21"/>
  <c r="J28" i="5"/>
  <c r="J26" i="5"/>
  <c r="J33" i="5" s="1"/>
  <c r="J26" i="23"/>
  <c r="J35" i="21"/>
  <c r="G23" i="14" s="1"/>
  <c r="J25" i="17"/>
  <c r="J19" i="5"/>
  <c r="E10" i="14" s="1"/>
  <c r="J19" i="4"/>
  <c r="E8" i="14" s="1"/>
  <c r="J19" i="23"/>
  <c r="E22" i="14" s="1"/>
  <c r="J20" i="15"/>
  <c r="E16" i="14" s="1"/>
  <c r="J24" i="23"/>
  <c r="F22" i="14" s="1"/>
  <c r="J13" i="21"/>
  <c r="D23" i="14" s="1"/>
  <c r="J29" i="8"/>
  <c r="J27" i="7"/>
  <c r="J26" i="19"/>
  <c r="J18" i="19"/>
  <c r="E19" i="14" s="1"/>
  <c r="J26" i="24"/>
  <c r="J24" i="24"/>
  <c r="F20" i="14" s="1"/>
  <c r="J26" i="22"/>
  <c r="J30" i="22" s="1"/>
  <c r="G21" i="14" s="1"/>
  <c r="J28" i="23"/>
  <c r="J32" i="23" s="1"/>
  <c r="J41" i="25"/>
  <c r="J40" i="25"/>
  <c r="J12" i="24"/>
  <c r="D20" i="14" s="1"/>
  <c r="J28" i="24"/>
  <c r="J32" i="24" s="1"/>
  <c r="G20" i="14" s="1"/>
  <c r="J12" i="22"/>
  <c r="D21" i="14" s="1"/>
  <c r="J18" i="22"/>
  <c r="E21" i="14" s="1"/>
  <c r="J27" i="19"/>
  <c r="J25" i="19"/>
  <c r="J23" i="19"/>
  <c r="F19" i="14" s="1"/>
  <c r="J26" i="7"/>
  <c r="J12" i="7"/>
  <c r="D18" i="14" s="1"/>
  <c r="J27" i="18"/>
  <c r="J32" i="18" s="1"/>
  <c r="G17" i="14" s="1"/>
  <c r="J12" i="18"/>
  <c r="D17" i="14" s="1"/>
  <c r="J27" i="15"/>
  <c r="J33" i="15" s="1"/>
  <c r="G16" i="14" s="1"/>
  <c r="J24" i="17"/>
  <c r="J22" i="17"/>
  <c r="F15" i="14" s="1"/>
  <c r="J24" i="6"/>
  <c r="J29" i="6" s="1"/>
  <c r="G14" i="14" s="1"/>
  <c r="J17" i="6"/>
  <c r="E14" i="14" s="1"/>
  <c r="J11" i="6"/>
  <c r="D14" i="14" s="1"/>
  <c r="J34" i="8"/>
  <c r="G13" i="14" s="1"/>
  <c r="J29" i="10"/>
  <c r="J27" i="10"/>
  <c r="J25" i="10"/>
  <c r="F12" i="14" s="1"/>
  <c r="J12" i="5"/>
  <c r="D10" i="14" s="1"/>
  <c r="J27" i="4"/>
  <c r="J32" i="4" s="1"/>
  <c r="G8" i="14" s="1"/>
  <c r="J12" i="4"/>
  <c r="D8" i="14" s="1"/>
  <c r="J26" i="2"/>
  <c r="J23" i="2"/>
  <c r="F7" i="14" s="1"/>
  <c r="J12" i="2"/>
  <c r="D7" i="14" s="1"/>
  <c r="J24" i="4"/>
  <c r="F8" i="14" s="1"/>
  <c r="J20" i="10"/>
  <c r="E12" i="14" s="1"/>
  <c r="J12" i="10"/>
  <c r="D12" i="14" s="1"/>
  <c r="J25" i="8"/>
  <c r="J26" i="8" s="1"/>
  <c r="F13" i="14" s="1"/>
  <c r="J17" i="17"/>
  <c r="E15" i="14" s="1"/>
  <c r="J31" i="3"/>
  <c r="G9" i="14" s="1"/>
  <c r="J23" i="3"/>
  <c r="F9" i="14" s="1"/>
  <c r="J12" i="3"/>
  <c r="D9" i="14" s="1"/>
  <c r="J30" i="2"/>
  <c r="G7" i="14" s="1"/>
  <c r="J20" i="8"/>
  <c r="E13" i="14" s="1"/>
  <c r="J12" i="8"/>
  <c r="D13" i="14" s="1"/>
  <c r="J11" i="17"/>
  <c r="D15" i="14" s="1"/>
  <c r="J19" i="7"/>
  <c r="E18" i="14" s="1"/>
  <c r="J23" i="22"/>
  <c r="F21" i="14" s="1"/>
  <c r="J19" i="24"/>
  <c r="J25" i="15"/>
  <c r="F16" i="14" s="1"/>
  <c r="J19" i="18"/>
  <c r="E17" i="14" s="1"/>
  <c r="J18" i="2"/>
  <c r="E7" i="14" s="1"/>
  <c r="J18" i="3"/>
  <c r="E9" i="14" s="1"/>
  <c r="J33" i="7" l="1"/>
  <c r="G18" i="14" s="1"/>
  <c r="H13" i="14"/>
  <c r="H23" i="14"/>
  <c r="J36" i="21"/>
  <c r="J38" i="21" s="1"/>
  <c r="H16" i="14"/>
  <c r="J29" i="17"/>
  <c r="G15" i="14" s="1"/>
  <c r="H15" i="14" s="1"/>
  <c r="H14" i="14"/>
  <c r="G22" i="14"/>
  <c r="H22" i="14" s="1"/>
  <c r="J33" i="23"/>
  <c r="J35" i="23" s="1"/>
  <c r="J37" i="23" s="1"/>
  <c r="J33" i="24"/>
  <c r="J35" i="24" s="1"/>
  <c r="E20" i="14"/>
  <c r="H20" i="14" s="1"/>
  <c r="H9" i="14"/>
  <c r="J34" i="5"/>
  <c r="J36" i="5" s="1"/>
  <c r="G10" i="14"/>
  <c r="H8" i="14"/>
  <c r="H10" i="14"/>
  <c r="H7" i="14"/>
  <c r="H17" i="14"/>
  <c r="H18" i="14"/>
  <c r="H21" i="14"/>
  <c r="J42" i="25"/>
  <c r="J43" i="25" s="1"/>
  <c r="E47" i="25" s="1"/>
  <c r="E48" i="25" s="1"/>
  <c r="J30" i="19"/>
  <c r="J34" i="7"/>
  <c r="J36" i="7" s="1"/>
  <c r="J33" i="18"/>
  <c r="J35" i="18" s="1"/>
  <c r="J34" i="15"/>
  <c r="J36" i="15" s="1"/>
  <c r="J30" i="17"/>
  <c r="J32" i="17" s="1"/>
  <c r="J30" i="6"/>
  <c r="J32" i="6" s="1"/>
  <c r="J35" i="6" s="1"/>
  <c r="J35" i="8"/>
  <c r="J37" i="8" s="1"/>
  <c r="J34" i="10"/>
  <c r="J33" i="4"/>
  <c r="J31" i="2"/>
  <c r="J33" i="2" s="1"/>
  <c r="J37" i="18"/>
  <c r="J39" i="5"/>
  <c r="J38" i="5"/>
  <c r="J37" i="24"/>
  <c r="J32" i="3"/>
  <c r="J34" i="3" s="1"/>
  <c r="J31" i="22"/>
  <c r="J33" i="22" s="1"/>
  <c r="J40" i="21" l="1"/>
  <c r="J42" i="21" s="1"/>
  <c r="J43" i="21" s="1"/>
  <c r="E47" i="21" s="1"/>
  <c r="J41" i="21"/>
  <c r="J31" i="19"/>
  <c r="J33" i="19" s="1"/>
  <c r="G19" i="14"/>
  <c r="H19" i="14" s="1"/>
  <c r="J35" i="10"/>
  <c r="J37" i="10" s="1"/>
  <c r="G12" i="14"/>
  <c r="H12" i="14" s="1"/>
  <c r="J24" i="14"/>
  <c r="E49" i="25"/>
  <c r="M24" i="14" s="1"/>
  <c r="N24" i="14" s="1"/>
  <c r="I24" i="14"/>
  <c r="J38" i="23"/>
  <c r="J39" i="23" s="1"/>
  <c r="J40" i="23" s="1"/>
  <c r="E44" i="23" s="1"/>
  <c r="J39" i="7"/>
  <c r="J38" i="7"/>
  <c r="J38" i="18"/>
  <c r="J39" i="18" s="1"/>
  <c r="J40" i="18" s="1"/>
  <c r="E44" i="18" s="1"/>
  <c r="J38" i="15"/>
  <c r="J39" i="15"/>
  <c r="J34" i="17"/>
  <c r="J35" i="17"/>
  <c r="J34" i="6"/>
  <c r="J39" i="8"/>
  <c r="J40" i="8"/>
  <c r="J35" i="4"/>
  <c r="J38" i="4" s="1"/>
  <c r="J36" i="2"/>
  <c r="J35" i="2"/>
  <c r="J36" i="3"/>
  <c r="J37" i="3"/>
  <c r="J36" i="6"/>
  <c r="J37" i="6" s="1"/>
  <c r="E41" i="6" s="1"/>
  <c r="J35" i="22"/>
  <c r="J36" i="22"/>
  <c r="J38" i="24"/>
  <c r="J39" i="24" s="1"/>
  <c r="J40" i="24" s="1"/>
  <c r="E44" i="24" s="1"/>
  <c r="E45" i="24" s="1"/>
  <c r="E46" i="24" s="1"/>
  <c r="M20" i="14" s="1"/>
  <c r="J40" i="5"/>
  <c r="J41" i="5" s="1"/>
  <c r="E45" i="5" s="1"/>
  <c r="J40" i="10" l="1"/>
  <c r="J36" i="19"/>
  <c r="J35" i="19"/>
  <c r="E45" i="23"/>
  <c r="J22" i="14"/>
  <c r="E45" i="18"/>
  <c r="J17" i="14"/>
  <c r="E48" i="21"/>
  <c r="J23" i="14"/>
  <c r="E46" i="5"/>
  <c r="J10" i="14"/>
  <c r="E42" i="6"/>
  <c r="J14" i="14"/>
  <c r="J37" i="4"/>
  <c r="J39" i="4" s="1"/>
  <c r="J40" i="4" s="1"/>
  <c r="E44" i="4" s="1"/>
  <c r="J36" i="17"/>
  <c r="J37" i="17" s="1"/>
  <c r="E41" i="17" s="1"/>
  <c r="J40" i="7"/>
  <c r="J41" i="7" s="1"/>
  <c r="E45" i="7" s="1"/>
  <c r="J40" i="15"/>
  <c r="J41" i="15" s="1"/>
  <c r="E45" i="15" s="1"/>
  <c r="J41" i="8"/>
  <c r="J42" i="8" s="1"/>
  <c r="E46" i="8" s="1"/>
  <c r="J39" i="10"/>
  <c r="J37" i="2"/>
  <c r="J38" i="2" s="1"/>
  <c r="E42" i="2" s="1"/>
  <c r="J37" i="22"/>
  <c r="J38" i="22" s="1"/>
  <c r="E42" i="22" s="1"/>
  <c r="J38" i="3"/>
  <c r="J39" i="3" s="1"/>
  <c r="E43" i="3" s="1"/>
  <c r="J41" i="10" l="1"/>
  <c r="J42" i="10" s="1"/>
  <c r="E46" i="10" s="1"/>
  <c r="E47" i="10" s="1"/>
  <c r="J37" i="19"/>
  <c r="J38" i="19" s="1"/>
  <c r="E42" i="19" s="1"/>
  <c r="E43" i="19" s="1"/>
  <c r="E43" i="22"/>
  <c r="J21" i="14"/>
  <c r="E45" i="4"/>
  <c r="J8" i="14"/>
  <c r="E47" i="8"/>
  <c r="J13" i="14"/>
  <c r="E46" i="7"/>
  <c r="J18" i="14"/>
  <c r="E44" i="3"/>
  <c r="J9" i="14"/>
  <c r="E43" i="2"/>
  <c r="J7" i="14"/>
  <c r="J12" i="14"/>
  <c r="E46" i="15"/>
  <c r="J16" i="14"/>
  <c r="E43" i="6"/>
  <c r="M14" i="14" s="1"/>
  <c r="N14" i="14" s="1"/>
  <c r="I14" i="14"/>
  <c r="E47" i="5"/>
  <c r="M10" i="14" s="1"/>
  <c r="I10" i="14"/>
  <c r="E49" i="21"/>
  <c r="M23" i="14" s="1"/>
  <c r="N23" i="14" s="1"/>
  <c r="I23" i="14"/>
  <c r="E46" i="18"/>
  <c r="M17" i="14" s="1"/>
  <c r="N17" i="14" s="1"/>
  <c r="I17" i="14"/>
  <c r="E46" i="23"/>
  <c r="M22" i="14" s="1"/>
  <c r="I22" i="14"/>
  <c r="E42" i="17"/>
  <c r="J15" i="14"/>
  <c r="J19" i="14" l="1"/>
  <c r="E44" i="19"/>
  <c r="M19" i="14" s="1"/>
  <c r="I19" i="14"/>
  <c r="E47" i="15"/>
  <c r="M16" i="14" s="1"/>
  <c r="N16" i="14" s="1"/>
  <c r="I16" i="14"/>
  <c r="E48" i="10"/>
  <c r="M12" i="14" s="1"/>
  <c r="N12" i="14" s="1"/>
  <c r="I12" i="14"/>
  <c r="E44" i="2"/>
  <c r="M7" i="14" s="1"/>
  <c r="I7" i="14"/>
  <c r="E45" i="3"/>
  <c r="M9" i="14" s="1"/>
  <c r="N9" i="14" s="1"/>
  <c r="I9" i="14"/>
  <c r="E47" i="7"/>
  <c r="M18" i="14" s="1"/>
  <c r="N18" i="14" s="1"/>
  <c r="I18" i="14"/>
  <c r="E48" i="8"/>
  <c r="M13" i="14" s="1"/>
  <c r="N13" i="14" s="1"/>
  <c r="I13" i="14"/>
  <c r="E46" i="4"/>
  <c r="M8" i="14" s="1"/>
  <c r="I8" i="14"/>
  <c r="E44" i="22"/>
  <c r="M21" i="14" s="1"/>
  <c r="N21" i="14" s="1"/>
  <c r="I21" i="14"/>
  <c r="E43" i="17"/>
  <c r="M15" i="14" s="1"/>
  <c r="N15" i="14" s="1"/>
  <c r="I15" i="14"/>
  <c r="N7" i="14" l="1"/>
</calcChain>
</file>

<file path=xl/sharedStrings.xml><?xml version="1.0" encoding="utf-8"?>
<sst xmlns="http://schemas.openxmlformats.org/spreadsheetml/2006/main" count="2500" uniqueCount="254">
  <si>
    <t>Buğday</t>
  </si>
  <si>
    <t>Arpa</t>
  </si>
  <si>
    <t>Nohut</t>
  </si>
  <si>
    <t>S</t>
  </si>
  <si>
    <t>K</t>
  </si>
  <si>
    <t>Materyal</t>
  </si>
  <si>
    <t>Birim</t>
  </si>
  <si>
    <t>Birim Fiyatı</t>
  </si>
  <si>
    <t>Tutarı</t>
  </si>
  <si>
    <t>AÇIKLAMA</t>
  </si>
  <si>
    <t>TOPRAK İŞLEME VE EKİM</t>
  </si>
  <si>
    <t>İkileme</t>
  </si>
  <si>
    <t>Üçleme</t>
  </si>
  <si>
    <t>Ekim+Gübreleme</t>
  </si>
  <si>
    <t>TOPLAM</t>
  </si>
  <si>
    <t>BAKIM İŞLERİ</t>
  </si>
  <si>
    <t>Gübreleme</t>
  </si>
  <si>
    <t>İlaçlama</t>
  </si>
  <si>
    <t>HASAT-HARMAN-TAŞIMA</t>
  </si>
  <si>
    <t xml:space="preserve">Hasat </t>
  </si>
  <si>
    <t>Hasat</t>
  </si>
  <si>
    <t>Taşıma</t>
  </si>
  <si>
    <t>ÇEŞİTLİ GİRDİLER</t>
  </si>
  <si>
    <t>Tohum</t>
  </si>
  <si>
    <t xml:space="preserve">İlaç </t>
  </si>
  <si>
    <t>MASRAFLAR TOPLAMI</t>
  </si>
  <si>
    <t>ORTAK GİDERLER</t>
  </si>
  <si>
    <t>Çeşitli Giderler</t>
  </si>
  <si>
    <t>Arazi Kirası</t>
  </si>
  <si>
    <t>Sermaye Faizi</t>
  </si>
  <si>
    <t>Yönetim Gideri</t>
  </si>
  <si>
    <t>GENEL TOPLAM</t>
  </si>
  <si>
    <t>VERİM</t>
  </si>
  <si>
    <t xml:space="preserve">YAN ÜRÜN GELİRİ </t>
  </si>
  <si>
    <t>ÜRETİM MALİYETİ</t>
  </si>
  <si>
    <t>(TL/kg)</t>
  </si>
  <si>
    <t>Nisan</t>
  </si>
  <si>
    <t>2-3 gövdeli pulluk</t>
  </si>
  <si>
    <t>Tırmık</t>
  </si>
  <si>
    <t>Kazayağı</t>
  </si>
  <si>
    <t>Ekim makinası</t>
  </si>
  <si>
    <t>Yardımcı</t>
  </si>
  <si>
    <t>Gübreleme makinası</t>
  </si>
  <si>
    <t>İlaçlama makinası</t>
  </si>
  <si>
    <t>sa</t>
  </si>
  <si>
    <t>kg</t>
  </si>
  <si>
    <t>Biçerdöğer</t>
  </si>
  <si>
    <t>Traktör-Römork</t>
  </si>
  <si>
    <t>%18-46 DAP</t>
  </si>
  <si>
    <t>Herbisit</t>
  </si>
  <si>
    <t>YAPILAN İŞLEMLER</t>
  </si>
  <si>
    <t>Temmuz</t>
  </si>
  <si>
    <t>HARCANAN İŞGÜCÜ</t>
  </si>
  <si>
    <t>İNSAN</t>
  </si>
  <si>
    <t>MAKİNE</t>
  </si>
  <si>
    <t xml:space="preserve">İŞLEM ZAMANI ve SAYISI </t>
  </si>
  <si>
    <t>Derin sürüm</t>
  </si>
  <si>
    <t>Su</t>
  </si>
  <si>
    <t>Mar-Nis</t>
  </si>
  <si>
    <t>Ağu-Eyl</t>
  </si>
  <si>
    <t>May-Ağu</t>
  </si>
  <si>
    <t>Ayçiçeği</t>
  </si>
  <si>
    <t>Biçer-Döğer</t>
  </si>
  <si>
    <t>İlaç</t>
  </si>
  <si>
    <t>Gübre Fiyatı</t>
  </si>
  <si>
    <t>Sulama ücreti</t>
  </si>
  <si>
    <t xml:space="preserve"> </t>
  </si>
  <si>
    <t>(kg/da)</t>
  </si>
  <si>
    <t>(TL/da)</t>
  </si>
  <si>
    <t>da</t>
  </si>
  <si>
    <t>(saat/dekar)</t>
  </si>
  <si>
    <t>Tarım Şekli</t>
  </si>
  <si>
    <t>Ürünün Adı</t>
  </si>
  <si>
    <t>NOT: Hesaplamalarda, Doğrudan gelir desteği, Mazot desteği, Yem bitkileri desteği vb. herhangi bir destekleme dikkate alınmamıştır.</t>
  </si>
  <si>
    <t>Gübre (P2O5)</t>
  </si>
  <si>
    <t xml:space="preserve">Gübre(N) </t>
  </si>
  <si>
    <t>%26  A.Nitrat</t>
  </si>
  <si>
    <t>Sertifikalı</t>
  </si>
  <si>
    <t>%26 A.Nitrat</t>
  </si>
  <si>
    <t>Arazi Koruma Ücreti</t>
  </si>
  <si>
    <t>ÇMK Derneği</t>
  </si>
  <si>
    <t xml:space="preserve">TALEP EDLEN ÜRÜN FİYATI </t>
  </si>
  <si>
    <t>NOT:1- Hesaplamalarda, Doğrudan gelir desteği, Mazot desteği, Yem bitkileri desteği vb. herhangi bir destekleme dikkate alınmamıştır.</t>
  </si>
  <si>
    <t>Eyl-Ekim</t>
  </si>
  <si>
    <t>Miktarı</t>
  </si>
  <si>
    <t xml:space="preserve">Sulama </t>
  </si>
  <si>
    <t>Motopomp+İşçilik</t>
  </si>
  <si>
    <t>Mazot</t>
  </si>
  <si>
    <t>Sulama Birliği</t>
  </si>
  <si>
    <t>Domates</t>
  </si>
  <si>
    <t>Haşhaş</t>
  </si>
  <si>
    <t>Kanola</t>
  </si>
  <si>
    <t>Aspir</t>
  </si>
  <si>
    <t>Dane Mısır</t>
  </si>
  <si>
    <t>Şeker Pancarı</t>
  </si>
  <si>
    <t>Tohum Fiyatı</t>
  </si>
  <si>
    <t>Tohum Miktarı</t>
  </si>
  <si>
    <t>%46 Üre</t>
  </si>
  <si>
    <t>Çapalama</t>
  </si>
  <si>
    <t>May-Haz-Tem</t>
  </si>
  <si>
    <t>Haz-Eylül</t>
  </si>
  <si>
    <t>May-Ağus</t>
  </si>
  <si>
    <t>Şub-Mart</t>
  </si>
  <si>
    <t>İkinci Sürüm</t>
  </si>
  <si>
    <t>Kadın İşçi</t>
  </si>
  <si>
    <t>Kadın İşçi Elle</t>
  </si>
  <si>
    <t>Söküm-Toplama-Baş Kesme</t>
  </si>
  <si>
    <t>Kasım-Aralık</t>
  </si>
  <si>
    <t>Yükleme Boşaltma</t>
  </si>
  <si>
    <t>Erkek İşçi Elle</t>
  </si>
  <si>
    <t>Küspe</t>
  </si>
  <si>
    <t>Şubat-Mart</t>
  </si>
  <si>
    <t>Mart-Nisan</t>
  </si>
  <si>
    <t>Nisan-May</t>
  </si>
  <si>
    <t>Mayıs-Tem</t>
  </si>
  <si>
    <t>Kurutma</t>
  </si>
  <si>
    <t>Erkek İşçi</t>
  </si>
  <si>
    <t>Sap Temizliği</t>
  </si>
  <si>
    <t>Eylül-Ekim</t>
  </si>
  <si>
    <t>Oneway+Tırmık</t>
  </si>
  <si>
    <t>%3-15 Taban</t>
  </si>
  <si>
    <t xml:space="preserve">%3-15 </t>
  </si>
  <si>
    <t>Ekim-Kasım</t>
  </si>
  <si>
    <t>Ağus-Eyl</t>
  </si>
  <si>
    <t>Harman</t>
  </si>
  <si>
    <t>Kadın işçi</t>
  </si>
  <si>
    <t>Patoz</t>
  </si>
  <si>
    <t>Y.Mercimek</t>
  </si>
  <si>
    <t>K.Fasulye</t>
  </si>
  <si>
    <t>Kuru Soğan</t>
  </si>
  <si>
    <t>Fumigasyon</t>
  </si>
  <si>
    <t>İlaç (Tablet)</t>
  </si>
  <si>
    <t>Haziran</t>
  </si>
  <si>
    <t>May-Haz</t>
  </si>
  <si>
    <t>Hasat (Kurutma)</t>
  </si>
  <si>
    <t>Kurutma %24den %14e</t>
  </si>
  <si>
    <t>Kurutma%24-%14e</t>
  </si>
  <si>
    <t>%20-20-20 Kom</t>
  </si>
  <si>
    <t>%20-20-20 Komp</t>
  </si>
  <si>
    <t>Ekim-Kas</t>
  </si>
  <si>
    <t>Karık Açma</t>
  </si>
  <si>
    <t>Fide Dikimi Elle</t>
  </si>
  <si>
    <t>Mayıs</t>
  </si>
  <si>
    <t>Mayıs-Hazi</t>
  </si>
  <si>
    <t>Karık Pulluğu</t>
  </si>
  <si>
    <t xml:space="preserve">Taban Gübresi </t>
  </si>
  <si>
    <t>Elle Üste</t>
  </si>
  <si>
    <t>Hazi-Temm</t>
  </si>
  <si>
    <t>Hazi-Eylül</t>
  </si>
  <si>
    <t>Elle Kadın İşçi</t>
  </si>
  <si>
    <t>İlaçlama Makinası</t>
  </si>
  <si>
    <t>Temm-Ekim</t>
  </si>
  <si>
    <t>Hasat Ayırma-Ambalaj</t>
  </si>
  <si>
    <t>Hasat Toplama</t>
  </si>
  <si>
    <t xml:space="preserve">Fide  </t>
  </si>
  <si>
    <t>Fide Fiyatı</t>
  </si>
  <si>
    <t>%21 A.Nitrat</t>
  </si>
  <si>
    <t>%43 TSP</t>
  </si>
  <si>
    <t>%21  A.Nitrat</t>
  </si>
  <si>
    <t>Çeşitli İlaçlar</t>
  </si>
  <si>
    <t>Nisan-Mayıs</t>
  </si>
  <si>
    <t>Elle</t>
  </si>
  <si>
    <t>May-Hazi</t>
  </si>
  <si>
    <t>Sırt Pülverizatörü</t>
  </si>
  <si>
    <t>Ayrım-Ambalaj</t>
  </si>
  <si>
    <t>Ekim</t>
  </si>
  <si>
    <t>Ekim Yardımcı</t>
  </si>
  <si>
    <t>Mibzer</t>
  </si>
  <si>
    <t>Hazi-Ağus</t>
  </si>
  <si>
    <t>Patoz+İşçilik</t>
  </si>
  <si>
    <t>Motopomp</t>
  </si>
  <si>
    <t>Triflin</t>
  </si>
  <si>
    <t>Fümigasyon</t>
  </si>
  <si>
    <t>Adet</t>
  </si>
  <si>
    <t>Fümigasyon Tablet</t>
  </si>
  <si>
    <t>Ekim Makinası</t>
  </si>
  <si>
    <t>Fide Miktarı (Adet)</t>
  </si>
  <si>
    <t>Erk.İşçilik Saat/YTL</t>
  </si>
  <si>
    <t>Kadın İşçilik Saat/YTL</t>
  </si>
  <si>
    <t>Çapalama-Tekleme</t>
  </si>
  <si>
    <t>Çapalama-Tekleme-Çapa</t>
  </si>
  <si>
    <t>Boğaz Doldurma</t>
  </si>
  <si>
    <t>Ağustos</t>
  </si>
  <si>
    <t>Yükleme-Boşaltma</t>
  </si>
  <si>
    <t>%21 A.Sülfat</t>
  </si>
  <si>
    <t>%21  A.Sülfat</t>
  </si>
  <si>
    <t>2,1 YTLx 50 Kg</t>
  </si>
  <si>
    <t>Tem-Ağus</t>
  </si>
  <si>
    <t>Sulama</t>
  </si>
  <si>
    <t>Eylül-Nisan</t>
  </si>
  <si>
    <t>Nis-May</t>
  </si>
  <si>
    <t>Eyl-Mart</t>
  </si>
  <si>
    <t>Çapa-Tekleme-Çapa</t>
  </si>
  <si>
    <t>Ağus-Aralık</t>
  </si>
  <si>
    <t>Söküm-Toplama</t>
  </si>
  <si>
    <t>Çuval</t>
  </si>
  <si>
    <t>Çuval Adedi</t>
  </si>
  <si>
    <t>Çuval Fiyatı</t>
  </si>
  <si>
    <t>ad</t>
  </si>
  <si>
    <t>%15-15-15 Kompoze</t>
  </si>
  <si>
    <t>% 26 A Nitrat</t>
  </si>
  <si>
    <t>Çuval Bedeli</t>
  </si>
  <si>
    <t>Sıvı Gübre</t>
  </si>
  <si>
    <t>Ester+Granster</t>
  </si>
  <si>
    <t>50gr+1,5 gr</t>
  </si>
  <si>
    <t>%20-20 Kompoze</t>
  </si>
  <si>
    <t>%33 A.Nitrat</t>
  </si>
  <si>
    <t>Gübre (N)</t>
  </si>
  <si>
    <t>Toprak İşleme     TL/da</t>
  </si>
  <si>
    <t>Bakım          TL/da</t>
  </si>
  <si>
    <t>Hasat           TL/da</t>
  </si>
  <si>
    <t>Çeşitli Girdiler          TL/da</t>
  </si>
  <si>
    <t>Maliyet TL/kg</t>
  </si>
  <si>
    <t>Maliyet TL/da</t>
  </si>
  <si>
    <t>Ürünün Satış Fiyatı (TL/kg)</t>
  </si>
  <si>
    <t>Verim kg/da</t>
  </si>
  <si>
    <t>Masraflar Toplamı           TL/da</t>
  </si>
  <si>
    <t>NOT:2-Talep edilen ürün fiyatı hesaplanırken, maliyet fiyatına % 30 üretici karı eklenmiştir.</t>
  </si>
  <si>
    <t>Y.Ot+Antraknoz</t>
  </si>
  <si>
    <t>Talep Edilen Ürün Satış Fiyatı Ort.TL/kg</t>
  </si>
  <si>
    <t>Talep Edilen Ürün Satış Fiyatı (TL/kg)</t>
  </si>
  <si>
    <t>ekim</t>
  </si>
  <si>
    <t>nisan</t>
  </si>
  <si>
    <t>%15.15.15 Kom</t>
  </si>
  <si>
    <t>%15-15-15 Taban</t>
  </si>
  <si>
    <t>Herbisit+İnsektisit</t>
  </si>
  <si>
    <t>%12-30-12 Kompoze</t>
  </si>
  <si>
    <t>Erk.İşçilik Saat/TL</t>
  </si>
  <si>
    <t>Herbisit+Fungusit vb</t>
  </si>
  <si>
    <t>Patates</t>
  </si>
  <si>
    <t>TL</t>
  </si>
  <si>
    <t>Eskişehir İlinde Sulu Tarım Şartlarında Dane Mısırın Dekara Ortalama Üretim Girdileri ve Maliyeti (2016-2017)</t>
  </si>
  <si>
    <t>Eskişehir İlinde Kuru Tarım Şartlarında Arpanın Dekara Ortalama Üretim Girdileri ve Maliyeti (2016-2017)</t>
  </si>
  <si>
    <t>Eskişehir İlinde Sulu Tarım Şartlarında Arpanın Dekara Ortalama Üretim Girdileri ve Maliyeti (2016-2017)</t>
  </si>
  <si>
    <t>Eskişehir İlinde Kuru Tarım Şartlarında Buğdayın Dekara Ortalama Üretim Girdileri ve Maliyeti (2016-2017)</t>
  </si>
  <si>
    <t>Eskişehir İlinde Sulu Tarım Şartlarında Buğdayın Dekara Ortalama Üretim Girdileri ve Maliyeti (2016-2017)</t>
  </si>
  <si>
    <t>Eskişehir İlinde Sulu Tarım Şartlarında Şeker Pancarının Dekara Ortalama Üretim Girdileri ve Maliyeti (2016-2017)</t>
  </si>
  <si>
    <t>Eskişehir İlinde Sulu Tarım Şartlarında Ayçiçeğinin Dekara Ortalama Üretim Girdileri ve Maliyeti (2016-2017)</t>
  </si>
  <si>
    <t>Eskişehir İlinde Kuru Tarım Şartlarında Nohutun Dekara Ortalama Üretim Girdileri ve Maliyeti (2016-2017)</t>
  </si>
  <si>
    <t>Eskişehir İlinde Kuru Tarım Şartlarında Y.Mercimeğin Dekara Ortalama Üretim Girdileri ve Maliyeti (2016-2017)</t>
  </si>
  <si>
    <t>Eskişehir İlinde Sulu Tarım Şartlarında Domatesin Dekara Ortalama Üretim Girdileri ve Maliyeti (2016-2017)</t>
  </si>
  <si>
    <t>Eskişehir İlinde Sulu Tarım Şartlarında Kuru Fasulyenin Dekara Ortalama Üretim Girdileri ve Maliyeti (2016-2017)</t>
  </si>
  <si>
    <t>Eskişehir İlinde Kuru Tarım Şartlarında Haşhaşın Dekara Ortalama Üretim Girdileri ve Maliyeti (2016-2017)</t>
  </si>
  <si>
    <t>Eskişehir İlinde Sulu Tarım Şartlarında Kanolanın Dekara Ortalama Üretim Girdileri ve Maliyeti (2016-2017)</t>
  </si>
  <si>
    <t>Eskişehir İlinde Kuru Tarım Şartlarında Aspirin Dekara Ortalama Üretim Girdileri ve Maliyeti (2016-2017)</t>
  </si>
  <si>
    <t>Eskişehir İlinde Sulu Tarım Şartlarında Aspirin Dekara Ortalama Üretim Girdileri ve Maliyeti (2016-2017)</t>
  </si>
  <si>
    <t>Eskişehir İlinde Sulu Tarım Şartlarında Kuru Soğanın Dekara Ortalama Üretim Girdileri ve Maliyeti (2016-2017)</t>
  </si>
  <si>
    <t>Eskişehir İlinde Kuru Tarım Şartlarında Çavdarın Dekara Ortalama Üretim Girdileri ve Maliyeti (2016-2017)</t>
  </si>
  <si>
    <t>Çavdar</t>
  </si>
  <si>
    <t xml:space="preserve">2016-2017 YILI MALİYET TABLOSU  </t>
  </si>
  <si>
    <t>(dört balya x 2,5 TL)</t>
  </si>
  <si>
    <t>(sekiz balya x 2,5 TL)</t>
  </si>
  <si>
    <t>Eskişehir İlinde Sulu Tarım Şartlarında Silaj Mısırın Dekara Ortalama Üretim Girdileri ve Maliyeti (2016-2017)</t>
  </si>
  <si>
    <t>% Üre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</si>
</sst>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0\ _Y_T_L"/>
    <numFmt numFmtId="167" formatCode="#,##0.0000"/>
  </numFmts>
  <fonts count="7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7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4" xfId="0" applyFont="1" applyBorder="1"/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0" xfId="0" applyFont="1" applyBorder="1"/>
    <xf numFmtId="4" fontId="6" fillId="0" borderId="0" xfId="0" applyNumberFormat="1" applyFont="1"/>
    <xf numFmtId="0" fontId="6" fillId="0" borderId="22" xfId="0" applyFont="1" applyBorder="1"/>
    <xf numFmtId="0" fontId="6" fillId="0" borderId="1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164" fontId="6" fillId="0" borderId="10" xfId="0" applyNumberFormat="1" applyFont="1" applyBorder="1"/>
    <xf numFmtId="4" fontId="6" fillId="0" borderId="10" xfId="0" applyNumberFormat="1" applyFont="1" applyBorder="1"/>
    <xf numFmtId="4" fontId="6" fillId="0" borderId="23" xfId="0" applyNumberFormat="1" applyFont="1" applyBorder="1"/>
    <xf numFmtId="0" fontId="6" fillId="0" borderId="24" xfId="0" applyFont="1" applyBorder="1"/>
    <xf numFmtId="0" fontId="6" fillId="0" borderId="17" xfId="0" applyFont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164" fontId="6" fillId="0" borderId="25" xfId="0" applyNumberFormat="1" applyFont="1" applyBorder="1"/>
    <xf numFmtId="4" fontId="6" fillId="0" borderId="12" xfId="0" applyNumberFormat="1" applyFont="1" applyBorder="1"/>
    <xf numFmtId="0" fontId="6" fillId="0" borderId="18" xfId="0" applyFont="1" applyBorder="1"/>
    <xf numFmtId="0" fontId="6" fillId="0" borderId="1" xfId="0" applyFont="1" applyBorder="1"/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164" fontId="6" fillId="0" borderId="27" xfId="0" applyNumberFormat="1" applyFont="1" applyBorder="1"/>
    <xf numFmtId="3" fontId="6" fillId="0" borderId="25" xfId="0" applyNumberFormat="1" applyFont="1" applyBorder="1"/>
    <xf numFmtId="4" fontId="6" fillId="0" borderId="27" xfId="0" applyNumberFormat="1" applyFont="1" applyBorder="1"/>
    <xf numFmtId="0" fontId="6" fillId="0" borderId="6" xfId="0" applyFont="1" applyBorder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19" xfId="0" applyNumberFormat="1" applyFont="1" applyBorder="1"/>
    <xf numFmtId="3" fontId="6" fillId="0" borderId="19" xfId="0" applyNumberFormat="1" applyFont="1" applyBorder="1"/>
    <xf numFmtId="0" fontId="6" fillId="0" borderId="29" xfId="0" applyFont="1" applyBorder="1"/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164" fontId="6" fillId="0" borderId="30" xfId="0" applyNumberFormat="1" applyFont="1" applyBorder="1"/>
    <xf numFmtId="4" fontId="6" fillId="0" borderId="30" xfId="0" applyNumberFormat="1" applyFont="1" applyBorder="1"/>
    <xf numFmtId="0" fontId="6" fillId="0" borderId="32" xfId="0" applyFont="1" applyBorder="1"/>
    <xf numFmtId="0" fontId="6" fillId="0" borderId="0" xfId="0" applyFont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6" fillId="0" borderId="33" xfId="0" applyFont="1" applyBorder="1"/>
    <xf numFmtId="4" fontId="6" fillId="0" borderId="0" xfId="0" applyNumberFormat="1" applyFont="1" applyAlignment="1">
      <alignment horizontal="center"/>
    </xf>
    <xf numFmtId="0" fontId="6" fillId="0" borderId="27" xfId="0" applyFont="1" applyBorder="1"/>
    <xf numFmtId="0" fontId="6" fillId="0" borderId="28" xfId="0" applyFont="1" applyBorder="1"/>
    <xf numFmtId="164" fontId="6" fillId="0" borderId="34" xfId="0" applyNumberFormat="1" applyFont="1" applyBorder="1"/>
    <xf numFmtId="3" fontId="6" fillId="0" borderId="34" xfId="0" applyNumberFormat="1" applyFont="1" applyBorder="1"/>
    <xf numFmtId="0" fontId="6" fillId="0" borderId="31" xfId="0" applyFont="1" applyBorder="1"/>
    <xf numFmtId="0" fontId="6" fillId="0" borderId="26" xfId="0" applyFont="1" applyBorder="1"/>
    <xf numFmtId="2" fontId="6" fillId="0" borderId="35" xfId="0" applyNumberFormat="1" applyFont="1" applyBorder="1" applyAlignment="1">
      <alignment horizontal="center"/>
    </xf>
    <xf numFmtId="4" fontId="6" fillId="0" borderId="25" xfId="0" applyNumberFormat="1" applyFont="1" applyBorder="1"/>
    <xf numFmtId="0" fontId="6" fillId="0" borderId="7" xfId="0" applyFont="1" applyBorder="1"/>
    <xf numFmtId="2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6" fillId="0" borderId="36" xfId="0" applyFont="1" applyBorder="1"/>
    <xf numFmtId="2" fontId="6" fillId="0" borderId="37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3" fontId="6" fillId="0" borderId="27" xfId="0" applyNumberFormat="1" applyFont="1" applyBorder="1"/>
    <xf numFmtId="0" fontId="6" fillId="0" borderId="16" xfId="0" applyFont="1" applyBorder="1"/>
    <xf numFmtId="0" fontId="6" fillId="0" borderId="39" xfId="0" applyFont="1" applyBorder="1"/>
    <xf numFmtId="164" fontId="6" fillId="0" borderId="0" xfId="0" applyNumberFormat="1" applyFont="1" applyAlignment="1">
      <alignment horizontal="center"/>
    </xf>
    <xf numFmtId="0" fontId="6" fillId="0" borderId="40" xfId="0" applyFont="1" applyBorder="1"/>
    <xf numFmtId="0" fontId="6" fillId="0" borderId="30" xfId="0" applyFont="1" applyBorder="1"/>
    <xf numFmtId="0" fontId="6" fillId="0" borderId="11" xfId="0" applyFont="1" applyBorder="1"/>
    <xf numFmtId="0" fontId="6" fillId="0" borderId="23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41" xfId="0" applyFont="1" applyBorder="1"/>
    <xf numFmtId="0" fontId="6" fillId="0" borderId="42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43" xfId="0" applyFont="1" applyBorder="1"/>
    <xf numFmtId="0" fontId="6" fillId="0" borderId="44" xfId="0" applyFont="1" applyBorder="1"/>
    <xf numFmtId="0" fontId="6" fillId="0" borderId="3" xfId="0" applyFont="1" applyBorder="1"/>
    <xf numFmtId="0" fontId="6" fillId="0" borderId="45" xfId="0" applyFont="1" applyBorder="1"/>
    <xf numFmtId="0" fontId="6" fillId="0" borderId="35" xfId="0" applyFont="1" applyBorder="1"/>
    <xf numFmtId="4" fontId="6" fillId="0" borderId="35" xfId="0" applyNumberFormat="1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4" fontId="6" fillId="0" borderId="48" xfId="0" applyNumberFormat="1" applyFont="1" applyBorder="1"/>
    <xf numFmtId="0" fontId="6" fillId="0" borderId="49" xfId="0" applyFont="1" applyBorder="1"/>
    <xf numFmtId="0" fontId="6" fillId="0" borderId="34" xfId="0" applyFont="1" applyBorder="1"/>
    <xf numFmtId="0" fontId="6" fillId="0" borderId="2" xfId="0" applyFont="1" applyBorder="1"/>
    <xf numFmtId="0" fontId="6" fillId="0" borderId="50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50" xfId="0" applyFont="1" applyBorder="1"/>
    <xf numFmtId="0" fontId="6" fillId="0" borderId="51" xfId="0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23" xfId="0" applyNumberFormat="1" applyFont="1" applyBorder="1" applyAlignment="1">
      <alignment horizontal="center"/>
    </xf>
    <xf numFmtId="0" fontId="6" fillId="0" borderId="51" xfId="0" applyFont="1" applyBorder="1"/>
    <xf numFmtId="0" fontId="6" fillId="0" borderId="41" xfId="0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42" xfId="0" applyNumberFormat="1" applyFont="1" applyBorder="1" applyAlignment="1">
      <alignment horizontal="center"/>
    </xf>
    <xf numFmtId="0" fontId="6" fillId="0" borderId="52" xfId="0" applyFont="1" applyBorder="1"/>
    <xf numFmtId="4" fontId="6" fillId="0" borderId="0" xfId="0" applyNumberFormat="1" applyFont="1" applyBorder="1" applyAlignment="1">
      <alignment horizontal="center"/>
    </xf>
    <xf numFmtId="164" fontId="6" fillId="0" borderId="51" xfId="0" applyNumberFormat="1" applyFont="1" applyBorder="1"/>
    <xf numFmtId="4" fontId="6" fillId="0" borderId="51" xfId="0" applyNumberFormat="1" applyFont="1" applyBorder="1"/>
    <xf numFmtId="4" fontId="5" fillId="0" borderId="0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4" fontId="5" fillId="0" borderId="4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2" fontId="6" fillId="0" borderId="10" xfId="0" applyNumberFormat="1" applyFont="1" applyBorder="1"/>
    <xf numFmtId="2" fontId="6" fillId="0" borderId="27" xfId="0" applyNumberFormat="1" applyFont="1" applyBorder="1"/>
    <xf numFmtId="2" fontId="6" fillId="0" borderId="19" xfId="0" applyNumberFormat="1" applyFont="1" applyBorder="1"/>
    <xf numFmtId="2" fontId="6" fillId="0" borderId="30" xfId="0" applyNumberFormat="1" applyFont="1" applyBorder="1"/>
    <xf numFmtId="2" fontId="6" fillId="0" borderId="51" xfId="0" applyNumberFormat="1" applyFont="1" applyBorder="1"/>
    <xf numFmtId="2" fontId="6" fillId="0" borderId="0" xfId="0" applyNumberFormat="1" applyFont="1"/>
    <xf numFmtId="0" fontId="6" fillId="0" borderId="25" xfId="0" applyFont="1" applyBorder="1"/>
    <xf numFmtId="2" fontId="6" fillId="0" borderId="54" xfId="0" applyNumberFormat="1" applyFont="1" applyBorder="1"/>
    <xf numFmtId="3" fontId="6" fillId="0" borderId="54" xfId="0" applyNumberFormat="1" applyFont="1" applyBorder="1"/>
    <xf numFmtId="165" fontId="6" fillId="0" borderId="25" xfId="0" applyNumberFormat="1" applyFont="1" applyBorder="1"/>
    <xf numFmtId="2" fontId="6" fillId="0" borderId="12" xfId="0" applyNumberFormat="1" applyFont="1" applyBorder="1"/>
    <xf numFmtId="3" fontId="6" fillId="0" borderId="0" xfId="0" applyNumberFormat="1" applyFont="1"/>
    <xf numFmtId="0" fontId="6" fillId="0" borderId="13" xfId="0" applyFont="1" applyBorder="1"/>
    <xf numFmtId="4" fontId="6" fillId="0" borderId="42" xfId="0" applyNumberFormat="1" applyFont="1" applyBorder="1"/>
    <xf numFmtId="0" fontId="6" fillId="0" borderId="35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55" xfId="0" applyFont="1" applyBorder="1"/>
    <xf numFmtId="0" fontId="6" fillId="0" borderId="54" xfId="0" applyFont="1" applyBorder="1"/>
    <xf numFmtId="165" fontId="6" fillId="0" borderId="10" xfId="0" applyNumberFormat="1" applyFont="1" applyBorder="1"/>
    <xf numFmtId="0" fontId="6" fillId="0" borderId="8" xfId="0" applyFont="1" applyBorder="1"/>
    <xf numFmtId="1" fontId="6" fillId="0" borderId="25" xfId="0" applyNumberFormat="1" applyFont="1" applyBorder="1"/>
    <xf numFmtId="0" fontId="6" fillId="0" borderId="42" xfId="0" applyFont="1" applyBorder="1" applyAlignment="1">
      <alignment horizontal="center"/>
    </xf>
    <xf numFmtId="0" fontId="6" fillId="0" borderId="0" xfId="0" applyFont="1" applyAlignment="1">
      <alignment horizontal="right"/>
    </xf>
    <xf numFmtId="166" fontId="0" fillId="0" borderId="0" xfId="0" applyNumberFormat="1"/>
    <xf numFmtId="0" fontId="0" fillId="0" borderId="54" xfId="0" applyBorder="1"/>
    <xf numFmtId="2" fontId="5" fillId="0" borderId="40" xfId="0" applyNumberFormat="1" applyFon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167" fontId="6" fillId="0" borderId="11" xfId="0" applyNumberFormat="1" applyFont="1" applyBorder="1" applyAlignment="1">
      <alignment horizontal="center"/>
    </xf>
    <xf numFmtId="0" fontId="0" fillId="0" borderId="32" xfId="0" applyFont="1" applyBorder="1"/>
    <xf numFmtId="0" fontId="0" fillId="0" borderId="0" xfId="0" applyFont="1" applyBorder="1"/>
    <xf numFmtId="0" fontId="0" fillId="0" borderId="24" xfId="0" applyFont="1" applyBorder="1"/>
    <xf numFmtId="0" fontId="0" fillId="2" borderId="0" xfId="0" applyFill="1" applyBorder="1"/>
    <xf numFmtId="0" fontId="0" fillId="2" borderId="0" xfId="0" applyFill="1"/>
    <xf numFmtId="0" fontId="6" fillId="2" borderId="0" xfId="0" applyFont="1" applyFill="1"/>
    <xf numFmtId="4" fontId="6" fillId="2" borderId="0" xfId="0" applyNumberFormat="1" applyFont="1" applyFill="1" applyAlignment="1">
      <alignment horizontal="center"/>
    </xf>
    <xf numFmtId="0" fontId="0" fillId="2" borderId="24" xfId="0" applyFill="1" applyBorder="1"/>
    <xf numFmtId="0" fontId="6" fillId="2" borderId="2" xfId="0" applyFont="1" applyFill="1" applyBorder="1"/>
    <xf numFmtId="2" fontId="6" fillId="2" borderId="0" xfId="0" applyNumberFormat="1" applyFont="1" applyFill="1"/>
    <xf numFmtId="2" fontId="6" fillId="2" borderId="10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0" fontId="6" fillId="0" borderId="0" xfId="0" applyFont="1" applyBorder="1" applyAlignment="1">
      <alignment horizontal="center"/>
    </xf>
    <xf numFmtId="0" fontId="0" fillId="0" borderId="0" xfId="0" applyFont="1"/>
    <xf numFmtId="4" fontId="0" fillId="0" borderId="0" xfId="0" applyNumberFormat="1" applyFont="1"/>
    <xf numFmtId="0" fontId="6" fillId="0" borderId="0" xfId="0" applyFont="1" applyBorder="1" applyAlignment="1">
      <alignment horizontal="center"/>
    </xf>
    <xf numFmtId="0" fontId="0" fillId="0" borderId="0" xfId="0"/>
    <xf numFmtId="0" fontId="5" fillId="0" borderId="61" xfId="0" applyFont="1" applyBorder="1" applyAlignment="1">
      <alignment vertical="center"/>
    </xf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0" xfId="0" applyFont="1" applyBorder="1"/>
    <xf numFmtId="4" fontId="1" fillId="0" borderId="0" xfId="0" applyNumberFormat="1" applyFont="1"/>
    <xf numFmtId="0" fontId="1" fillId="0" borderId="22" xfId="0" applyFont="1" applyBorder="1"/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/>
    <xf numFmtId="4" fontId="1" fillId="0" borderId="10" xfId="0" applyNumberFormat="1" applyFont="1" applyBorder="1"/>
    <xf numFmtId="4" fontId="1" fillId="0" borderId="23" xfId="0" applyNumberFormat="1" applyFont="1" applyBorder="1"/>
    <xf numFmtId="0" fontId="1" fillId="0" borderId="24" xfId="0" applyFont="1" applyBorder="1"/>
    <xf numFmtId="0" fontId="1" fillId="0" borderId="17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164" fontId="1" fillId="0" borderId="25" xfId="0" applyNumberFormat="1" applyFont="1" applyBorder="1"/>
    <xf numFmtId="4" fontId="1" fillId="0" borderId="12" xfId="0" applyNumberFormat="1" applyFont="1" applyBorder="1"/>
    <xf numFmtId="0" fontId="1" fillId="0" borderId="18" xfId="0" applyFont="1" applyBorder="1"/>
    <xf numFmtId="0" fontId="1" fillId="0" borderId="1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164" fontId="1" fillId="0" borderId="27" xfId="0" applyNumberFormat="1" applyFont="1" applyBorder="1"/>
    <xf numFmtId="3" fontId="1" fillId="0" borderId="25" xfId="0" applyNumberFormat="1" applyFont="1" applyBorder="1"/>
    <xf numFmtId="4" fontId="1" fillId="0" borderId="27" xfId="0" applyNumberFormat="1" applyFont="1" applyBorder="1"/>
    <xf numFmtId="0" fontId="1" fillId="0" borderId="6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164" fontId="1" fillId="0" borderId="19" xfId="0" applyNumberFormat="1" applyFont="1" applyBorder="1"/>
    <xf numFmtId="3" fontId="1" fillId="0" borderId="19" xfId="0" applyNumberFormat="1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164" fontId="1" fillId="0" borderId="30" xfId="0" applyNumberFormat="1" applyFont="1" applyBorder="1"/>
    <xf numFmtId="4" fontId="1" fillId="0" borderId="30" xfId="0" applyNumberFormat="1" applyFont="1" applyBorder="1"/>
    <xf numFmtId="0" fontId="1" fillId="0" borderId="32" xfId="0" applyFont="1" applyBorder="1"/>
    <xf numFmtId="0" fontId="1" fillId="0" borderId="0" xfId="0" applyFont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1" fillId="0" borderId="33" xfId="0" applyFont="1" applyBorder="1"/>
    <xf numFmtId="4" fontId="1" fillId="0" borderId="0" xfId="0" applyNumberFormat="1" applyFont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164" fontId="1" fillId="0" borderId="34" xfId="0" applyNumberFormat="1" applyFont="1" applyBorder="1"/>
    <xf numFmtId="3" fontId="1" fillId="0" borderId="34" xfId="0" applyNumberFormat="1" applyFont="1" applyBorder="1"/>
    <xf numFmtId="0" fontId="1" fillId="0" borderId="31" xfId="0" applyFont="1" applyBorder="1"/>
    <xf numFmtId="0" fontId="1" fillId="0" borderId="26" xfId="0" applyFont="1" applyBorder="1"/>
    <xf numFmtId="2" fontId="1" fillId="0" borderId="35" xfId="0" applyNumberFormat="1" applyFont="1" applyBorder="1" applyAlignment="1">
      <alignment horizontal="center"/>
    </xf>
    <xf numFmtId="4" fontId="1" fillId="0" borderId="25" xfId="0" applyNumberFormat="1" applyFont="1" applyBorder="1"/>
    <xf numFmtId="0" fontId="1" fillId="0" borderId="7" xfId="0" applyFont="1" applyBorder="1"/>
    <xf numFmtId="2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/>
    <xf numFmtId="0" fontId="1" fillId="0" borderId="36" xfId="0" applyFont="1" applyBorder="1"/>
    <xf numFmtId="2" fontId="1" fillId="0" borderId="37" xfId="0" applyNumberFormat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3" fontId="1" fillId="0" borderId="27" xfId="0" applyNumberFormat="1" applyFont="1" applyBorder="1"/>
    <xf numFmtId="0" fontId="1" fillId="0" borderId="16" xfId="0" applyFont="1" applyBorder="1"/>
    <xf numFmtId="0" fontId="1" fillId="0" borderId="39" xfId="0" applyFont="1" applyBorder="1"/>
    <xf numFmtId="164" fontId="1" fillId="0" borderId="0" xfId="0" applyNumberFormat="1" applyFont="1" applyAlignment="1">
      <alignment horizontal="center"/>
    </xf>
    <xf numFmtId="0" fontId="1" fillId="0" borderId="40" xfId="0" applyFont="1" applyBorder="1"/>
    <xf numFmtId="0" fontId="1" fillId="0" borderId="30" xfId="0" applyFont="1" applyBorder="1"/>
    <xf numFmtId="0" fontId="1" fillId="0" borderId="11" xfId="0" applyFont="1" applyBorder="1"/>
    <xf numFmtId="0" fontId="1" fillId="0" borderId="23" xfId="0" applyFont="1" applyBorder="1"/>
    <xf numFmtId="0" fontId="1" fillId="0" borderId="10" xfId="0" applyFont="1" applyBorder="1"/>
    <xf numFmtId="0" fontId="1" fillId="0" borderId="41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3" xfId="0" applyFont="1" applyBorder="1"/>
    <xf numFmtId="0" fontId="1" fillId="0" borderId="45" xfId="0" applyFont="1" applyBorder="1"/>
    <xf numFmtId="0" fontId="1" fillId="0" borderId="35" xfId="0" applyFont="1" applyBorder="1"/>
    <xf numFmtId="4" fontId="1" fillId="0" borderId="35" xfId="0" applyNumberFormat="1" applyFont="1" applyBorder="1"/>
    <xf numFmtId="0" fontId="1" fillId="0" borderId="46" xfId="0" applyFont="1" applyBorder="1"/>
    <xf numFmtId="0" fontId="1" fillId="0" borderId="47" xfId="0" applyFont="1" applyBorder="1"/>
    <xf numFmtId="0" fontId="1" fillId="0" borderId="48" xfId="0" applyFont="1" applyBorder="1"/>
    <xf numFmtId="4" fontId="1" fillId="0" borderId="48" xfId="0" applyNumberFormat="1" applyFont="1" applyBorder="1"/>
    <xf numFmtId="0" fontId="1" fillId="0" borderId="49" xfId="0" applyFont="1" applyBorder="1"/>
    <xf numFmtId="0" fontId="1" fillId="0" borderId="34" xfId="0" applyFont="1" applyBorder="1"/>
    <xf numFmtId="0" fontId="1" fillId="0" borderId="2" xfId="0" applyFont="1" applyBorder="1"/>
    <xf numFmtId="0" fontId="1" fillId="0" borderId="5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50" xfId="0" applyFont="1" applyBorder="1"/>
    <xf numFmtId="0" fontId="1" fillId="0" borderId="51" xfId="0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23" xfId="0" applyNumberFormat="1" applyFont="1" applyBorder="1" applyAlignment="1">
      <alignment horizontal="center"/>
    </xf>
    <xf numFmtId="0" fontId="1" fillId="0" borderId="51" xfId="0" applyFont="1" applyBorder="1"/>
    <xf numFmtId="0" fontId="1" fillId="0" borderId="41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42" xfId="0" applyNumberFormat="1" applyFont="1" applyBorder="1" applyAlignment="1">
      <alignment horizontal="center"/>
    </xf>
    <xf numFmtId="0" fontId="1" fillId="0" borderId="52" xfId="0" applyFont="1" applyBorder="1"/>
    <xf numFmtId="4" fontId="1" fillId="0" borderId="0" xfId="0" applyNumberFormat="1" applyFont="1" applyBorder="1" applyAlignment="1">
      <alignment horizontal="center"/>
    </xf>
    <xf numFmtId="0" fontId="5" fillId="0" borderId="53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4" fontId="5" fillId="0" borderId="4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0" fontId="0" fillId="0" borderId="0" xfId="0" applyFont="1"/>
    <xf numFmtId="2" fontId="0" fillId="0" borderId="1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4" fontId="5" fillId="0" borderId="62" xfId="0" applyNumberFormat="1" applyFont="1" applyBorder="1" applyAlignment="1">
      <alignment horizontal="center" vertical="center"/>
    </xf>
    <xf numFmtId="2" fontId="5" fillId="0" borderId="63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57" xfId="0" applyNumberFormat="1" applyBorder="1" applyAlignment="1">
      <alignment horizontal="center" vertical="center"/>
    </xf>
    <xf numFmtId="4" fontId="0" fillId="2" borderId="0" xfId="0" applyNumberFormat="1" applyFont="1" applyFill="1"/>
    <xf numFmtId="167" fontId="5" fillId="0" borderId="48" xfId="0" applyNumberFormat="1" applyFont="1" applyBorder="1" applyAlignment="1">
      <alignment horizontal="center" vertical="center"/>
    </xf>
    <xf numFmtId="2" fontId="5" fillId="0" borderId="62" xfId="0" applyNumberFormat="1" applyFont="1" applyBorder="1" applyAlignment="1">
      <alignment horizontal="center" vertical="center"/>
    </xf>
    <xf numFmtId="2" fontId="5" fillId="0" borderId="64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7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58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1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7"/>
  <sheetViews>
    <sheetView topLeftCell="A25" workbookViewId="0">
      <selection activeCell="H27" sqref="H27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11.5703125" style="25" customWidth="1"/>
    <col min="14" max="17" width="11.5703125" style="25" hidden="1" customWidth="1"/>
    <col min="18" max="18" width="11.5703125" style="25" customWidth="1"/>
    <col min="19" max="16384" width="9.140625" style="25"/>
  </cols>
  <sheetData>
    <row r="1" spans="2:17" s="19" customFormat="1" x14ac:dyDescent="0.2">
      <c r="B1" s="333" t="s">
        <v>232</v>
      </c>
      <c r="C1" s="334"/>
      <c r="D1" s="334"/>
      <c r="E1" s="334"/>
      <c r="F1" s="334"/>
      <c r="G1" s="334"/>
      <c r="H1" s="334"/>
      <c r="I1" s="334"/>
    </row>
    <row r="2" spans="2:17" s="19" customFormat="1" ht="13.5" thickBot="1" x14ac:dyDescent="0.25"/>
    <row r="3" spans="2:17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7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7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7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7" x14ac:dyDescent="0.2">
      <c r="B7" s="35" t="s">
        <v>56</v>
      </c>
      <c r="C7" s="36" t="s">
        <v>59</v>
      </c>
      <c r="D7" s="37">
        <v>1</v>
      </c>
      <c r="E7" s="38">
        <v>0.24</v>
      </c>
      <c r="F7" s="38">
        <v>0.24</v>
      </c>
      <c r="G7" s="39">
        <v>1.7</v>
      </c>
      <c r="H7" s="36" t="s">
        <v>69</v>
      </c>
      <c r="I7" s="40">
        <f>P11</f>
        <v>4.08</v>
      </c>
      <c r="J7" s="41">
        <f>(G7*I7)+(E7*P12)</f>
        <v>9.3360000000000003</v>
      </c>
      <c r="K7" s="42" t="s">
        <v>37</v>
      </c>
      <c r="L7" s="33"/>
      <c r="P7" s="34"/>
    </row>
    <row r="8" spans="2:17" x14ac:dyDescent="0.2">
      <c r="B8" s="35" t="s">
        <v>11</v>
      </c>
      <c r="C8" s="36" t="s">
        <v>83</v>
      </c>
      <c r="D8" s="37">
        <v>1</v>
      </c>
      <c r="E8" s="38">
        <v>0.12</v>
      </c>
      <c r="F8" s="38">
        <v>0.12</v>
      </c>
      <c r="G8" s="39">
        <v>1</v>
      </c>
      <c r="H8" s="36" t="s">
        <v>69</v>
      </c>
      <c r="I8" s="40">
        <f>P11</f>
        <v>4.08</v>
      </c>
      <c r="J8" s="41">
        <f>(I8*G8)+(P12*E8)</f>
        <v>5.28</v>
      </c>
      <c r="K8" s="42" t="s">
        <v>39</v>
      </c>
      <c r="L8" s="33"/>
      <c r="P8" s="34"/>
    </row>
    <row r="9" spans="2:17" x14ac:dyDescent="0.2">
      <c r="B9" s="35" t="s">
        <v>12</v>
      </c>
      <c r="C9" s="36" t="s">
        <v>83</v>
      </c>
      <c r="D9" s="37">
        <v>2</v>
      </c>
      <c r="E9" s="38">
        <v>0.12</v>
      </c>
      <c r="F9" s="38">
        <v>0.12</v>
      </c>
      <c r="G9" s="39">
        <v>0.7</v>
      </c>
      <c r="H9" s="36" t="s">
        <v>69</v>
      </c>
      <c r="I9" s="40">
        <f>P11</f>
        <v>4.08</v>
      </c>
      <c r="J9" s="41">
        <f>((E9*P12)+(P11*G9))*D9</f>
        <v>8.1120000000000001</v>
      </c>
      <c r="K9" s="42" t="s">
        <v>38</v>
      </c>
      <c r="L9" s="33"/>
      <c r="P9" s="34"/>
    </row>
    <row r="10" spans="2:17" x14ac:dyDescent="0.2">
      <c r="B10" s="35" t="s">
        <v>13</v>
      </c>
      <c r="C10" s="36" t="s">
        <v>83</v>
      </c>
      <c r="D10" s="37">
        <v>1</v>
      </c>
      <c r="E10" s="38">
        <v>0.1</v>
      </c>
      <c r="F10" s="38">
        <v>0.1</v>
      </c>
      <c r="G10" s="39">
        <v>0.7</v>
      </c>
      <c r="H10" s="36" t="s">
        <v>69</v>
      </c>
      <c r="I10" s="40">
        <f>P11</f>
        <v>4.08</v>
      </c>
      <c r="J10" s="41">
        <f>(I10*G10)+(P11*E10)</f>
        <v>3.2639999999999998</v>
      </c>
      <c r="K10" s="42" t="s">
        <v>167</v>
      </c>
      <c r="L10" s="33"/>
      <c r="P10" s="25" t="s">
        <v>165</v>
      </c>
      <c r="Q10" s="25" t="s">
        <v>36</v>
      </c>
    </row>
    <row r="11" spans="2:17" ht="13.5" thickBot="1" x14ac:dyDescent="0.25">
      <c r="B11" s="43" t="s">
        <v>13</v>
      </c>
      <c r="C11" s="44" t="s">
        <v>83</v>
      </c>
      <c r="D11" s="45"/>
      <c r="E11" s="46">
        <v>0.1</v>
      </c>
      <c r="F11" s="46"/>
      <c r="G11" s="47"/>
      <c r="H11" s="44" t="s">
        <v>44</v>
      </c>
      <c r="I11" s="48">
        <f>P12</f>
        <v>10</v>
      </c>
      <c r="J11" s="41">
        <f>P12*E11</f>
        <v>1</v>
      </c>
      <c r="K11" s="49" t="s">
        <v>166</v>
      </c>
      <c r="L11" s="33"/>
      <c r="N11" s="25" t="s">
        <v>87</v>
      </c>
      <c r="P11" s="176">
        <v>4.08</v>
      </c>
      <c r="Q11" s="176">
        <v>4.5999999999999996</v>
      </c>
    </row>
    <row r="12" spans="2:17" ht="13.5" thickBot="1" x14ac:dyDescent="0.25">
      <c r="B12" s="50" t="s">
        <v>14</v>
      </c>
      <c r="C12" s="51"/>
      <c r="D12" s="52"/>
      <c r="E12" s="53">
        <f>SUM(E7:E11)</f>
        <v>0.67999999999999994</v>
      </c>
      <c r="F12" s="54">
        <f>SUM(F7:F11)</f>
        <v>0.57999999999999996</v>
      </c>
      <c r="G12" s="55"/>
      <c r="H12" s="52"/>
      <c r="I12" s="56"/>
      <c r="J12" s="57">
        <f>SUM(J7:J11)</f>
        <v>26.992000000000001</v>
      </c>
      <c r="K12" s="58"/>
      <c r="L12" s="33"/>
      <c r="N12" s="178" t="s">
        <v>227</v>
      </c>
      <c r="P12" s="34">
        <v>10</v>
      </c>
    </row>
    <row r="13" spans="2:17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62</v>
      </c>
      <c r="P13" s="34">
        <v>14</v>
      </c>
    </row>
    <row r="14" spans="2:17" x14ac:dyDescent="0.2">
      <c r="B14" s="64" t="s">
        <v>16</v>
      </c>
      <c r="C14" s="65" t="s">
        <v>58</v>
      </c>
      <c r="D14" s="66">
        <v>1</v>
      </c>
      <c r="E14" s="67">
        <v>0.09</v>
      </c>
      <c r="F14" s="67">
        <v>0.09</v>
      </c>
      <c r="G14" s="68">
        <v>0.3</v>
      </c>
      <c r="H14" s="65" t="s">
        <v>69</v>
      </c>
      <c r="I14" s="69">
        <f>Q11</f>
        <v>4.5999999999999996</v>
      </c>
      <c r="J14" s="41">
        <f>(P12*E14)+(G14*I14)</f>
        <v>2.2799999999999998</v>
      </c>
      <c r="K14" s="70" t="s">
        <v>42</v>
      </c>
      <c r="L14" s="33"/>
      <c r="N14" s="25" t="s">
        <v>21</v>
      </c>
      <c r="P14" s="34">
        <v>35</v>
      </c>
    </row>
    <row r="15" spans="2:17" x14ac:dyDescent="0.2">
      <c r="B15" s="35" t="s">
        <v>16</v>
      </c>
      <c r="C15" s="36" t="s">
        <v>58</v>
      </c>
      <c r="D15" s="37"/>
      <c r="E15" s="38">
        <v>0.09</v>
      </c>
      <c r="F15" s="38"/>
      <c r="G15" s="39"/>
      <c r="H15" s="36" t="s">
        <v>44</v>
      </c>
      <c r="I15" s="69">
        <f>P12</f>
        <v>10</v>
      </c>
      <c r="J15" s="40">
        <f>I15*E15</f>
        <v>0.89999999999999991</v>
      </c>
      <c r="K15" s="42" t="s">
        <v>41</v>
      </c>
      <c r="L15" s="33"/>
      <c r="N15" s="25" t="s">
        <v>28</v>
      </c>
      <c r="P15" s="34">
        <v>45</v>
      </c>
    </row>
    <row r="16" spans="2:17" x14ac:dyDescent="0.2">
      <c r="B16" s="64" t="s">
        <v>17</v>
      </c>
      <c r="C16" s="65" t="s">
        <v>36</v>
      </c>
      <c r="D16" s="66">
        <v>1</v>
      </c>
      <c r="E16" s="67">
        <v>0.08</v>
      </c>
      <c r="F16" s="67">
        <v>0.08</v>
      </c>
      <c r="G16" s="68">
        <v>0.3</v>
      </c>
      <c r="H16" s="65" t="s">
        <v>69</v>
      </c>
      <c r="I16" s="69">
        <f>Q11</f>
        <v>4.5999999999999996</v>
      </c>
      <c r="J16" s="41">
        <f>(G16*I16)</f>
        <v>1.38</v>
      </c>
      <c r="K16" s="70" t="s">
        <v>43</v>
      </c>
      <c r="L16" s="33"/>
      <c r="N16" s="25" t="s">
        <v>79</v>
      </c>
      <c r="O16" s="71"/>
      <c r="P16" s="34">
        <v>1.5</v>
      </c>
    </row>
    <row r="17" spans="2:26" ht="13.5" thickBot="1" x14ac:dyDescent="0.25">
      <c r="B17" s="35" t="s">
        <v>17</v>
      </c>
      <c r="C17" s="36" t="s">
        <v>36</v>
      </c>
      <c r="D17" s="37"/>
      <c r="E17" s="38">
        <v>0.08</v>
      </c>
      <c r="F17" s="72"/>
      <c r="G17" s="39"/>
      <c r="H17" s="36" t="s">
        <v>44</v>
      </c>
      <c r="I17" s="69">
        <f>P12</f>
        <v>10</v>
      </c>
      <c r="J17" s="41">
        <f>(I17*E17)</f>
        <v>0.8</v>
      </c>
      <c r="K17" s="73" t="s">
        <v>41</v>
      </c>
      <c r="L17" s="33"/>
      <c r="N17" s="25" t="s">
        <v>63</v>
      </c>
      <c r="P17" s="34">
        <v>2.5</v>
      </c>
      <c r="Q17" s="74"/>
    </row>
    <row r="18" spans="2:26" ht="13.5" thickBot="1" x14ac:dyDescent="0.25">
      <c r="B18" s="50" t="s">
        <v>14</v>
      </c>
      <c r="C18" s="75"/>
      <c r="D18" s="76"/>
      <c r="E18" s="54">
        <f>SUM(E14:E17)</f>
        <v>0.34</v>
      </c>
      <c r="F18" s="54">
        <f>SUM(F14:F17)</f>
        <v>0.16999999999999998</v>
      </c>
      <c r="G18" s="77"/>
      <c r="H18" s="51"/>
      <c r="I18" s="78"/>
      <c r="J18" s="57">
        <f>SUM(J14:J17)</f>
        <v>5.3599999999999994</v>
      </c>
      <c r="K18" s="58"/>
      <c r="N18" s="25" t="s">
        <v>65</v>
      </c>
    </row>
    <row r="19" spans="2:26" x14ac:dyDescent="0.2">
      <c r="B19" s="3" t="s">
        <v>18</v>
      </c>
      <c r="C19" s="30"/>
      <c r="D19" s="31"/>
      <c r="E19" s="61"/>
      <c r="F19" s="61"/>
      <c r="G19" s="62"/>
      <c r="H19" s="59"/>
      <c r="I19" s="63"/>
      <c r="J19" s="63"/>
      <c r="K19" s="32"/>
      <c r="L19" s="33"/>
      <c r="N19" s="25" t="s">
        <v>95</v>
      </c>
      <c r="P19" s="34">
        <v>1.5</v>
      </c>
    </row>
    <row r="20" spans="2:26" x14ac:dyDescent="0.2">
      <c r="B20" s="64" t="s">
        <v>19</v>
      </c>
      <c r="C20" s="65" t="s">
        <v>51</v>
      </c>
      <c r="D20" s="66">
        <v>1</v>
      </c>
      <c r="E20" s="67">
        <v>0.12</v>
      </c>
      <c r="F20" s="67">
        <v>0.12</v>
      </c>
      <c r="G20" s="68"/>
      <c r="H20" s="65" t="s">
        <v>69</v>
      </c>
      <c r="I20" s="69">
        <f>P13</f>
        <v>14</v>
      </c>
      <c r="J20" s="41">
        <f>(I20*D20)</f>
        <v>14</v>
      </c>
      <c r="K20" s="70" t="s">
        <v>46</v>
      </c>
      <c r="L20" s="33"/>
      <c r="N20" s="25" t="s">
        <v>96</v>
      </c>
      <c r="P20" s="34">
        <v>20</v>
      </c>
    </row>
    <row r="21" spans="2:26" x14ac:dyDescent="0.2">
      <c r="B21" s="64" t="s">
        <v>20</v>
      </c>
      <c r="C21" s="65" t="s">
        <v>51</v>
      </c>
      <c r="D21" s="79"/>
      <c r="E21" s="67">
        <v>0.12</v>
      </c>
      <c r="F21" s="67"/>
      <c r="G21" s="68"/>
      <c r="H21" s="65" t="s">
        <v>44</v>
      </c>
      <c r="I21" s="69">
        <f>P12</f>
        <v>10</v>
      </c>
      <c r="J21" s="40">
        <f>(I21*E21)</f>
        <v>1.2</v>
      </c>
      <c r="K21" s="70" t="s">
        <v>41</v>
      </c>
      <c r="L21" s="33"/>
      <c r="O21" s="71"/>
      <c r="Q21" s="71"/>
    </row>
    <row r="22" spans="2:26" ht="13.5" thickBot="1" x14ac:dyDescent="0.25">
      <c r="B22" s="43" t="s">
        <v>21</v>
      </c>
      <c r="C22" s="44" t="s">
        <v>51</v>
      </c>
      <c r="D22" s="80"/>
      <c r="E22" s="81">
        <v>0.04</v>
      </c>
      <c r="F22" s="81">
        <v>0.04</v>
      </c>
      <c r="G22" s="47"/>
      <c r="H22" s="44" t="s">
        <v>45</v>
      </c>
      <c r="I22" s="82">
        <f>P14/2000</f>
        <v>1.7500000000000002E-2</v>
      </c>
      <c r="J22" s="40">
        <f>I22*E40</f>
        <v>4.2</v>
      </c>
      <c r="K22" s="83" t="s">
        <v>47</v>
      </c>
      <c r="L22" s="33"/>
      <c r="O22" s="71"/>
      <c r="P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ht="13.5" thickBot="1" x14ac:dyDescent="0.25">
      <c r="B23" s="22" t="s">
        <v>14</v>
      </c>
      <c r="C23" s="75"/>
      <c r="D23" s="86"/>
      <c r="E23" s="87">
        <f>SUM(E20:E22)</f>
        <v>0.27999999999999997</v>
      </c>
      <c r="F23" s="87">
        <f>SUM(F20:F22)</f>
        <v>0.16</v>
      </c>
      <c r="G23" s="75"/>
      <c r="H23" s="88"/>
      <c r="I23" s="89"/>
      <c r="J23" s="57">
        <f>SUM(J20:J22)</f>
        <v>19.399999999999999</v>
      </c>
      <c r="K23" s="90"/>
      <c r="L23" s="33"/>
      <c r="O23" s="71"/>
      <c r="Q23" s="71"/>
    </row>
    <row r="24" spans="2:26" x14ac:dyDescent="0.2">
      <c r="B24" s="3" t="s">
        <v>22</v>
      </c>
      <c r="C24" s="91"/>
      <c r="D24" s="31"/>
      <c r="E24" s="30"/>
      <c r="F24" s="30"/>
      <c r="G24" s="30"/>
      <c r="H24" s="59"/>
      <c r="I24" s="63"/>
      <c r="J24" s="63"/>
      <c r="K24" s="32"/>
      <c r="L24" s="33"/>
      <c r="O24" s="92"/>
      <c r="Q24" s="71"/>
    </row>
    <row r="25" spans="2:26" x14ac:dyDescent="0.2">
      <c r="B25" s="64" t="s">
        <v>23</v>
      </c>
      <c r="C25" s="93"/>
      <c r="D25" s="79"/>
      <c r="E25" s="94"/>
      <c r="F25" s="94"/>
      <c r="G25" s="68">
        <f>P20</f>
        <v>20</v>
      </c>
      <c r="H25" s="65" t="s">
        <v>45</v>
      </c>
      <c r="I25" s="69">
        <f>P19</f>
        <v>1.5</v>
      </c>
      <c r="J25" s="41">
        <f>(I25*G25)</f>
        <v>30</v>
      </c>
      <c r="K25" s="70" t="s">
        <v>77</v>
      </c>
      <c r="L25" s="33"/>
    </row>
    <row r="26" spans="2:26" x14ac:dyDescent="0.2">
      <c r="B26" s="64" t="s">
        <v>74</v>
      </c>
      <c r="C26" s="93"/>
      <c r="D26" s="79"/>
      <c r="E26" s="94"/>
      <c r="F26" s="94"/>
      <c r="G26" s="68">
        <f>O28</f>
        <v>15</v>
      </c>
      <c r="H26" s="65" t="s">
        <v>45</v>
      </c>
      <c r="I26" s="69">
        <f>Q28</f>
        <v>1.45</v>
      </c>
      <c r="J26" s="41">
        <f>(I26*G26)</f>
        <v>21.75</v>
      </c>
      <c r="K26" s="70" t="s">
        <v>48</v>
      </c>
      <c r="L26" s="33"/>
    </row>
    <row r="27" spans="2:26" x14ac:dyDescent="0.2">
      <c r="B27" s="64" t="s">
        <v>75</v>
      </c>
      <c r="C27" s="93"/>
      <c r="D27" s="79"/>
      <c r="E27" s="94"/>
      <c r="F27" s="94"/>
      <c r="G27" s="68">
        <f>O29</f>
        <v>15</v>
      </c>
      <c r="H27" s="65" t="s">
        <v>45</v>
      </c>
      <c r="I27" s="69">
        <f>Q29</f>
        <v>1.05</v>
      </c>
      <c r="J27" s="41">
        <f>(I27*G27)</f>
        <v>15.75</v>
      </c>
      <c r="K27" s="70" t="s">
        <v>76</v>
      </c>
      <c r="L27" s="33"/>
      <c r="O27" s="71" t="s">
        <v>84</v>
      </c>
      <c r="P27" s="71" t="s">
        <v>8</v>
      </c>
      <c r="Q27" s="71" t="s">
        <v>64</v>
      </c>
    </row>
    <row r="28" spans="2:26" x14ac:dyDescent="0.2">
      <c r="B28" s="64" t="s">
        <v>79</v>
      </c>
      <c r="C28" s="93"/>
      <c r="D28" s="66">
        <v>1</v>
      </c>
      <c r="E28" s="94"/>
      <c r="F28" s="94"/>
      <c r="G28" s="68"/>
      <c r="H28" s="65" t="s">
        <v>69</v>
      </c>
      <c r="I28" s="69">
        <f>P16</f>
        <v>1.5</v>
      </c>
      <c r="J28" s="41">
        <f>I28*D28</f>
        <v>1.5</v>
      </c>
      <c r="K28" s="70" t="s">
        <v>80</v>
      </c>
      <c r="L28" s="33"/>
      <c r="N28" s="33" t="s">
        <v>48</v>
      </c>
      <c r="O28" s="71">
        <v>15</v>
      </c>
      <c r="P28" s="34">
        <f>(Q28*O28)</f>
        <v>21.75</v>
      </c>
      <c r="Q28" s="171">
        <v>1.45</v>
      </c>
    </row>
    <row r="29" spans="2:26" ht="13.5" thickBot="1" x14ac:dyDescent="0.25">
      <c r="B29" s="35" t="s">
        <v>24</v>
      </c>
      <c r="C29" s="149"/>
      <c r="D29" s="96"/>
      <c r="E29" s="97"/>
      <c r="F29" s="97"/>
      <c r="G29" s="97">
        <v>0.05</v>
      </c>
      <c r="H29" s="36" t="s">
        <v>45</v>
      </c>
      <c r="I29" s="40">
        <f>P17</f>
        <v>2.5</v>
      </c>
      <c r="J29" s="41">
        <f>(I29*G29)</f>
        <v>0.125</v>
      </c>
      <c r="K29" s="42" t="s">
        <v>49</v>
      </c>
      <c r="L29" s="33"/>
      <c r="N29" s="25" t="s">
        <v>78</v>
      </c>
      <c r="O29" s="71">
        <v>15</v>
      </c>
      <c r="P29" s="34">
        <f>(Q29*O29)</f>
        <v>15.75</v>
      </c>
      <c r="Q29" s="171">
        <v>1.05</v>
      </c>
    </row>
    <row r="30" spans="2:26" ht="13.5" thickBot="1" x14ac:dyDescent="0.25">
      <c r="B30" s="50" t="s">
        <v>14</v>
      </c>
      <c r="C30" s="103"/>
      <c r="D30" s="76"/>
      <c r="E30" s="75"/>
      <c r="F30" s="75"/>
      <c r="G30" s="75"/>
      <c r="H30" s="75"/>
      <c r="I30" s="75"/>
      <c r="J30" s="57">
        <f>SUM(J25:J29)</f>
        <v>69.125</v>
      </c>
      <c r="K30" s="58"/>
      <c r="L30" s="33"/>
      <c r="Q30" s="74"/>
    </row>
    <row r="31" spans="2:26" ht="13.5" thickBot="1" x14ac:dyDescent="0.25">
      <c r="B31" s="50" t="s">
        <v>25</v>
      </c>
      <c r="C31" s="104"/>
      <c r="D31" s="76"/>
      <c r="E31" s="75"/>
      <c r="F31" s="75"/>
      <c r="G31" s="75"/>
      <c r="H31" s="75"/>
      <c r="I31" s="75"/>
      <c r="J31" s="57">
        <f>(J12+J18+J23+J30)</f>
        <v>120.87700000000001</v>
      </c>
      <c r="K31" s="58"/>
      <c r="L31" s="33"/>
    </row>
    <row r="32" spans="2:26" x14ac:dyDescent="0.2">
      <c r="B32" s="3" t="s">
        <v>26</v>
      </c>
      <c r="C32" s="91"/>
      <c r="D32" s="31"/>
      <c r="E32" s="30"/>
      <c r="F32" s="30"/>
      <c r="G32" s="30"/>
      <c r="H32" s="30"/>
      <c r="I32" s="30"/>
      <c r="J32" s="63"/>
      <c r="K32" s="32"/>
      <c r="L32" s="33"/>
    </row>
    <row r="33" spans="2:12" x14ac:dyDescent="0.2">
      <c r="B33" s="35" t="s">
        <v>27</v>
      </c>
      <c r="C33" s="95"/>
      <c r="D33" s="96"/>
      <c r="E33" s="97"/>
      <c r="F33" s="97"/>
      <c r="G33" s="97"/>
      <c r="H33" s="97"/>
      <c r="I33" s="97"/>
      <c r="J33" s="40">
        <f>J31*0.1</f>
        <v>12.087700000000002</v>
      </c>
      <c r="K33" s="42"/>
      <c r="L33" s="33"/>
    </row>
    <row r="34" spans="2:12" x14ac:dyDescent="0.2">
      <c r="B34" s="35" t="s">
        <v>28</v>
      </c>
      <c r="C34" s="95"/>
      <c r="D34" s="96"/>
      <c r="E34" s="97"/>
      <c r="F34" s="97"/>
      <c r="G34" s="97"/>
      <c r="H34" s="97"/>
      <c r="I34" s="97"/>
      <c r="J34" s="40">
        <f>P15</f>
        <v>45</v>
      </c>
      <c r="K34" s="42"/>
      <c r="L34" s="33"/>
    </row>
    <row r="35" spans="2:12" x14ac:dyDescent="0.2">
      <c r="B35" s="35" t="s">
        <v>29</v>
      </c>
      <c r="C35" s="95"/>
      <c r="D35" s="96"/>
      <c r="E35" s="97"/>
      <c r="F35" s="97"/>
      <c r="G35" s="97"/>
      <c r="H35" s="97"/>
      <c r="I35" s="97"/>
      <c r="J35" s="40">
        <f>((J31+J33+J34)*0.07)</f>
        <v>12.457529000000003</v>
      </c>
      <c r="K35" s="42"/>
      <c r="L35" s="33"/>
    </row>
    <row r="36" spans="2:12" x14ac:dyDescent="0.2">
      <c r="B36" s="105" t="s">
        <v>30</v>
      </c>
      <c r="C36" s="93"/>
      <c r="D36" s="106"/>
      <c r="E36" s="107"/>
      <c r="F36" s="107"/>
      <c r="G36" s="107"/>
      <c r="H36" s="107"/>
      <c r="I36" s="107"/>
      <c r="J36" s="108">
        <f>((J31+J33+J34)*0.03)</f>
        <v>5.3389410000000002</v>
      </c>
      <c r="K36" s="83"/>
      <c r="L36" s="33"/>
    </row>
    <row r="37" spans="2:12" ht="13.5" thickBot="1" x14ac:dyDescent="0.25">
      <c r="B37" s="109" t="s">
        <v>14</v>
      </c>
      <c r="C37" s="103"/>
      <c r="D37" s="110"/>
      <c r="E37" s="111"/>
      <c r="F37" s="111"/>
      <c r="G37" s="111"/>
      <c r="H37" s="111"/>
      <c r="I37" s="111"/>
      <c r="J37" s="112">
        <f>SUM(J33:J36)</f>
        <v>74.884170000000012</v>
      </c>
      <c r="K37" s="113"/>
      <c r="L37" s="33"/>
    </row>
    <row r="38" spans="2:12" ht="13.5" thickBot="1" x14ac:dyDescent="0.25">
      <c r="B38" s="2" t="s">
        <v>31</v>
      </c>
      <c r="C38" s="104"/>
      <c r="D38" s="76"/>
      <c r="E38" s="54"/>
      <c r="F38" s="54"/>
      <c r="G38" s="75"/>
      <c r="H38" s="75"/>
      <c r="I38" s="75"/>
      <c r="J38" s="57">
        <f>(J31+J37)</f>
        <v>195.76117000000002</v>
      </c>
      <c r="K38" s="58"/>
      <c r="L38" s="33"/>
    </row>
    <row r="39" spans="2:12" ht="13.5" thickBot="1" x14ac:dyDescent="0.25">
      <c r="B39" s="33"/>
      <c r="C39" s="33"/>
      <c r="D39" s="33"/>
      <c r="E39" s="114"/>
      <c r="F39" s="114"/>
      <c r="G39" s="33"/>
      <c r="H39" s="33"/>
      <c r="I39" s="33"/>
      <c r="J39" s="33"/>
      <c r="K39" s="33"/>
      <c r="L39" s="33"/>
    </row>
    <row r="40" spans="2:12" x14ac:dyDescent="0.2">
      <c r="B40" s="115" t="s">
        <v>32</v>
      </c>
      <c r="C40" s="116" t="s">
        <v>67</v>
      </c>
      <c r="D40" s="60"/>
      <c r="E40" s="117">
        <v>240</v>
      </c>
      <c r="F40" s="60"/>
      <c r="G40" s="118"/>
      <c r="H40" s="118"/>
      <c r="I40" s="118"/>
      <c r="J40" s="118"/>
      <c r="K40" s="32"/>
      <c r="L40" s="33"/>
    </row>
    <row r="41" spans="2:12" x14ac:dyDescent="0.2">
      <c r="B41" s="35" t="s">
        <v>33</v>
      </c>
      <c r="C41" s="119" t="s">
        <v>68</v>
      </c>
      <c r="D41" s="119"/>
      <c r="E41" s="120">
        <v>10</v>
      </c>
      <c r="F41" s="121"/>
      <c r="G41" s="166" t="s">
        <v>250</v>
      </c>
      <c r="H41" s="33"/>
      <c r="I41" s="33"/>
      <c r="J41" s="33"/>
      <c r="K41" s="83"/>
      <c r="L41" s="33"/>
    </row>
    <row r="42" spans="2:12" x14ac:dyDescent="0.2">
      <c r="B42" s="35" t="s">
        <v>34</v>
      </c>
      <c r="C42" s="119" t="s">
        <v>68</v>
      </c>
      <c r="D42" s="119"/>
      <c r="E42" s="120">
        <f>(J38-E41)</f>
        <v>185.76117000000002</v>
      </c>
      <c r="F42" s="121"/>
      <c r="G42" s="122"/>
      <c r="H42" s="122"/>
      <c r="I42" s="122"/>
      <c r="J42" s="122"/>
      <c r="K42" s="42"/>
      <c r="L42" s="33"/>
    </row>
    <row r="43" spans="2:12" x14ac:dyDescent="0.2">
      <c r="B43" s="35" t="s">
        <v>34</v>
      </c>
      <c r="C43" s="119" t="s">
        <v>35</v>
      </c>
      <c r="D43" s="119"/>
      <c r="E43" s="120">
        <f>(E42/E40)</f>
        <v>0.77400487500000004</v>
      </c>
      <c r="F43" s="121"/>
      <c r="G43" s="33"/>
      <c r="H43" s="33"/>
      <c r="I43" s="33"/>
      <c r="J43" s="33"/>
      <c r="K43" s="83"/>
      <c r="L43" s="33"/>
    </row>
    <row r="44" spans="2:12" ht="13.5" thickBot="1" x14ac:dyDescent="0.25">
      <c r="B44" s="109" t="s">
        <v>81</v>
      </c>
      <c r="C44" s="123" t="s">
        <v>35</v>
      </c>
      <c r="D44" s="123"/>
      <c r="E44" s="124">
        <f>E43*1.3</f>
        <v>1.0062063375000001</v>
      </c>
      <c r="F44" s="125"/>
      <c r="G44" s="99"/>
      <c r="H44" s="99"/>
      <c r="I44" s="99"/>
      <c r="J44" s="99"/>
      <c r="K44" s="126"/>
      <c r="L44" s="33"/>
    </row>
    <row r="45" spans="2:12" x14ac:dyDescent="0.2">
      <c r="L45" s="33"/>
    </row>
    <row r="46" spans="2:12" x14ac:dyDescent="0.2">
      <c r="B46" s="25" t="s">
        <v>82</v>
      </c>
      <c r="C46" s="24"/>
      <c r="D46" s="24"/>
      <c r="E46" s="127"/>
      <c r="F46" s="127"/>
      <c r="G46" s="33"/>
      <c r="H46" s="33"/>
      <c r="I46" s="33"/>
      <c r="J46" s="33"/>
      <c r="K46" s="33"/>
      <c r="L46" s="33"/>
    </row>
    <row r="47" spans="2:12" x14ac:dyDescent="0.2">
      <c r="B47" s="25" t="s">
        <v>217</v>
      </c>
      <c r="C47" s="24"/>
      <c r="D47" s="24"/>
      <c r="E47" s="127"/>
      <c r="F47" s="127"/>
      <c r="G47" s="33"/>
      <c r="H47" s="33"/>
      <c r="I47" s="33"/>
      <c r="J47" s="33"/>
      <c r="K47" s="33"/>
      <c r="L47" s="33"/>
    </row>
    <row r="48" spans="2:12" x14ac:dyDescent="0.2">
      <c r="L48" s="33"/>
    </row>
    <row r="49" spans="12:12" x14ac:dyDescent="0.2">
      <c r="L49" s="33"/>
    </row>
    <row r="71" spans="9:10" x14ac:dyDescent="0.2">
      <c r="I71" s="343"/>
      <c r="J71" s="343"/>
    </row>
    <row r="72" spans="9:10" x14ac:dyDescent="0.2">
      <c r="I72" s="332"/>
      <c r="J72" s="332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</sheetData>
  <customSheetViews>
    <customSheetView guid="{8B6B86C0-2F1B-11D5-9D92-00606708EF55}" scale="75" showRuler="0" topLeftCell="A17">
      <selection activeCell="N45" sqref="N45"/>
      <pageMargins left="0.74803149606299213" right="0.74803149606299213" top="0.19685039370078741" bottom="0.19685039370078741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3:J73"/>
    <mergeCell ref="B1:I1"/>
    <mergeCell ref="I77:J77"/>
    <mergeCell ref="E4:F4"/>
    <mergeCell ref="E3:F3"/>
    <mergeCell ref="C3:D5"/>
    <mergeCell ref="I74:J74"/>
    <mergeCell ref="I75:J75"/>
    <mergeCell ref="I76:J76"/>
    <mergeCell ref="I71:J71"/>
    <mergeCell ref="I72:J72"/>
  </mergeCells>
  <phoneticPr fontId="2" type="noConversion"/>
  <printOptions horizontalCentered="1" verticalCentered="1"/>
  <pageMargins left="0.74803149606299213" right="0.74803149606299213" top="0.19685039370078741" bottom="0.19685039370078741" header="0.51181102362204722" footer="0.51181102362204722"/>
  <pageSetup paperSize="9" scale="95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78"/>
  <sheetViews>
    <sheetView topLeftCell="A16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10" style="25" customWidth="1"/>
    <col min="14" max="17" width="10" style="25" hidden="1" customWidth="1"/>
    <col min="18" max="18" width="10" style="25" customWidth="1"/>
    <col min="19" max="16384" width="9.140625" style="25"/>
  </cols>
  <sheetData>
    <row r="1" spans="2:16" s="200" customFormat="1" x14ac:dyDescent="0.2">
      <c r="B1" s="333" t="s">
        <v>252</v>
      </c>
      <c r="C1" s="333"/>
      <c r="D1" s="333"/>
      <c r="E1" s="333"/>
      <c r="F1" s="333"/>
      <c r="G1" s="333"/>
      <c r="H1" s="333"/>
      <c r="I1" s="333"/>
    </row>
    <row r="2" spans="2:16" s="200" customFormat="1" ht="13.5" thickBot="1" x14ac:dyDescent="0.25"/>
    <row r="3" spans="2:16" x14ac:dyDescent="0.2">
      <c r="B3" s="201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180"/>
    </row>
    <row r="4" spans="2:16" ht="13.5" thickBot="1" x14ac:dyDescent="0.25">
      <c r="B4" s="186" t="s">
        <v>50</v>
      </c>
      <c r="C4" s="339"/>
      <c r="D4" s="340"/>
      <c r="E4" s="335" t="s">
        <v>70</v>
      </c>
      <c r="F4" s="335"/>
      <c r="G4" s="187" t="s">
        <v>5</v>
      </c>
      <c r="H4" s="186" t="s">
        <v>6</v>
      </c>
      <c r="I4" s="187" t="s">
        <v>7</v>
      </c>
      <c r="J4" s="187" t="s">
        <v>8</v>
      </c>
      <c r="K4" s="191" t="s">
        <v>9</v>
      </c>
      <c r="L4" s="206"/>
    </row>
    <row r="5" spans="2:16" ht="13.5" thickBot="1" x14ac:dyDescent="0.25">
      <c r="B5" s="27"/>
      <c r="C5" s="341"/>
      <c r="D5" s="342"/>
      <c r="E5" s="189" t="s">
        <v>53</v>
      </c>
      <c r="F5" s="190" t="s">
        <v>54</v>
      </c>
      <c r="G5" s="28"/>
      <c r="H5" s="27"/>
      <c r="I5" s="188" t="s">
        <v>230</v>
      </c>
      <c r="J5" s="188" t="s">
        <v>230</v>
      </c>
      <c r="K5" s="29"/>
      <c r="L5" s="180"/>
    </row>
    <row r="6" spans="2:16" x14ac:dyDescent="0.2">
      <c r="B6" s="185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59</v>
      </c>
      <c r="D7" s="37">
        <v>1</v>
      </c>
      <c r="E7" s="38">
        <v>0.33</v>
      </c>
      <c r="F7" s="38">
        <v>0.33</v>
      </c>
      <c r="G7" s="39">
        <v>1.7</v>
      </c>
      <c r="H7" s="36" t="s">
        <v>69</v>
      </c>
      <c r="I7" s="40">
        <f>P11</f>
        <v>4.5999999999999996</v>
      </c>
      <c r="J7" s="41">
        <f>(G7*I7)+(E7*P12)</f>
        <v>11.45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58</v>
      </c>
      <c r="D8" s="37"/>
      <c r="E8" s="38">
        <v>0.36</v>
      </c>
      <c r="F8" s="38">
        <v>0.36</v>
      </c>
      <c r="G8" s="39">
        <v>1</v>
      </c>
      <c r="H8" s="36" t="s">
        <v>69</v>
      </c>
      <c r="I8" s="40">
        <f>P11</f>
        <v>4.5999999999999996</v>
      </c>
      <c r="J8" s="41">
        <f>(I8*G8)+(P12*E8)</f>
        <v>8.5599999999999987</v>
      </c>
      <c r="K8" s="42" t="s">
        <v>39</v>
      </c>
      <c r="L8" s="33"/>
      <c r="P8" s="34"/>
    </row>
    <row r="9" spans="2:16" x14ac:dyDescent="0.2">
      <c r="B9" s="35" t="s">
        <v>12</v>
      </c>
      <c r="C9" s="36" t="s">
        <v>113</v>
      </c>
      <c r="D9" s="37">
        <v>1</v>
      </c>
      <c r="E9" s="38">
        <v>0.11</v>
      </c>
      <c r="F9" s="38">
        <v>0.11</v>
      </c>
      <c r="G9" s="39">
        <v>0.7</v>
      </c>
      <c r="H9" s="36" t="s">
        <v>69</v>
      </c>
      <c r="I9" s="40">
        <f>P11</f>
        <v>4.5999999999999996</v>
      </c>
      <c r="J9" s="41">
        <f>(I9*G9)+(P12*E9)</f>
        <v>4.43</v>
      </c>
      <c r="K9" s="42" t="s">
        <v>38</v>
      </c>
      <c r="L9" s="33"/>
      <c r="P9" s="34"/>
    </row>
    <row r="10" spans="2:16" x14ac:dyDescent="0.2">
      <c r="B10" s="35" t="s">
        <v>13</v>
      </c>
      <c r="C10" s="36" t="s">
        <v>113</v>
      </c>
      <c r="D10" s="37">
        <v>1</v>
      </c>
      <c r="E10" s="38">
        <v>0.14000000000000001</v>
      </c>
      <c r="F10" s="38">
        <v>0.14000000000000001</v>
      </c>
      <c r="G10" s="39">
        <v>0.7</v>
      </c>
      <c r="H10" s="36" t="s">
        <v>69</v>
      </c>
      <c r="I10" s="40">
        <f>P11</f>
        <v>4.5999999999999996</v>
      </c>
      <c r="J10" s="41">
        <f>(I10*G10)+(P11*E10)</f>
        <v>3.8639999999999999</v>
      </c>
      <c r="K10" s="42" t="s">
        <v>175</v>
      </c>
      <c r="L10" s="33"/>
      <c r="P10" s="25" t="s">
        <v>222</v>
      </c>
    </row>
    <row r="11" spans="2:16" ht="13.5" thickBot="1" x14ac:dyDescent="0.25">
      <c r="B11" s="43" t="s">
        <v>13</v>
      </c>
      <c r="C11" s="44" t="s">
        <v>113</v>
      </c>
      <c r="D11" s="45"/>
      <c r="E11" s="46">
        <v>0.14000000000000001</v>
      </c>
      <c r="F11" s="46"/>
      <c r="G11" s="47"/>
      <c r="H11" s="44" t="s">
        <v>44</v>
      </c>
      <c r="I11" s="48">
        <f>P12</f>
        <v>11</v>
      </c>
      <c r="J11" s="41">
        <f>P12*E11</f>
        <v>1.54</v>
      </c>
      <c r="K11" s="49" t="s">
        <v>166</v>
      </c>
      <c r="L11" s="33"/>
      <c r="N11" s="25" t="s">
        <v>87</v>
      </c>
      <c r="P11" s="34">
        <v>4.5999999999999996</v>
      </c>
    </row>
    <row r="12" spans="2:16" ht="13.5" thickBot="1" x14ac:dyDescent="0.25">
      <c r="B12" s="50" t="s">
        <v>14</v>
      </c>
      <c r="C12" s="51"/>
      <c r="D12" s="52"/>
      <c r="E12" s="53">
        <f>SUM(E7:E11)</f>
        <v>1.08</v>
      </c>
      <c r="F12" s="54">
        <f>SUM(F7:F11)</f>
        <v>0.94</v>
      </c>
      <c r="G12" s="55"/>
      <c r="H12" s="52"/>
      <c r="I12" s="56"/>
      <c r="J12" s="57">
        <f>SUM(J7:J11)</f>
        <v>29.843999999999998</v>
      </c>
      <c r="K12" s="58"/>
      <c r="L12" s="33"/>
      <c r="N12" s="25" t="s">
        <v>177</v>
      </c>
      <c r="P12" s="34">
        <v>11</v>
      </c>
    </row>
    <row r="13" spans="2:16" x14ac:dyDescent="0.2">
      <c r="B13" s="185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62</v>
      </c>
      <c r="P13" s="34">
        <v>90</v>
      </c>
    </row>
    <row r="14" spans="2:16" x14ac:dyDescent="0.2">
      <c r="B14" s="64" t="s">
        <v>16</v>
      </c>
      <c r="C14" s="65" t="s">
        <v>132</v>
      </c>
      <c r="D14" s="66">
        <v>1</v>
      </c>
      <c r="E14" s="67">
        <v>0.09</v>
      </c>
      <c r="F14" s="67">
        <v>0.09</v>
      </c>
      <c r="G14" s="68">
        <v>0.3</v>
      </c>
      <c r="H14" s="65" t="s">
        <v>69</v>
      </c>
      <c r="I14" s="69">
        <f>P11</f>
        <v>4.5999999999999996</v>
      </c>
      <c r="J14" s="41">
        <f>(P12*E14)+(G14*I14)</f>
        <v>2.37</v>
      </c>
      <c r="K14" s="70" t="s">
        <v>42</v>
      </c>
      <c r="L14" s="33"/>
      <c r="N14" s="25" t="s">
        <v>21</v>
      </c>
      <c r="P14" s="34">
        <v>36</v>
      </c>
    </row>
    <row r="15" spans="2:16" x14ac:dyDescent="0.2">
      <c r="B15" s="35" t="s">
        <v>16</v>
      </c>
      <c r="C15" s="36" t="s">
        <v>132</v>
      </c>
      <c r="D15" s="37"/>
      <c r="E15" s="38">
        <v>0.09</v>
      </c>
      <c r="F15" s="38"/>
      <c r="G15" s="39"/>
      <c r="H15" s="36" t="s">
        <v>44</v>
      </c>
      <c r="I15" s="40">
        <f>P12</f>
        <v>11</v>
      </c>
      <c r="J15" s="40">
        <f>I15*E15</f>
        <v>0.99</v>
      </c>
      <c r="K15" s="42" t="s">
        <v>41</v>
      </c>
      <c r="L15" s="33"/>
      <c r="N15" s="25" t="s">
        <v>28</v>
      </c>
      <c r="P15" s="34">
        <v>210</v>
      </c>
    </row>
    <row r="16" spans="2:16" x14ac:dyDescent="0.2">
      <c r="B16" s="64" t="s">
        <v>17</v>
      </c>
      <c r="C16" s="65" t="s">
        <v>58</v>
      </c>
      <c r="D16" s="66">
        <v>1</v>
      </c>
      <c r="E16" s="67">
        <v>0.09</v>
      </c>
      <c r="F16" s="67">
        <v>0.09</v>
      </c>
      <c r="G16" s="68">
        <v>0.3</v>
      </c>
      <c r="H16" s="65" t="s">
        <v>69</v>
      </c>
      <c r="I16" s="69">
        <f>P11</f>
        <v>4.5999999999999996</v>
      </c>
      <c r="J16" s="41">
        <f>(P12*E16)+(G16*I16)</f>
        <v>2.37</v>
      </c>
      <c r="K16" s="70" t="s">
        <v>43</v>
      </c>
      <c r="L16" s="33"/>
      <c r="N16" s="25" t="s">
        <v>79</v>
      </c>
      <c r="O16" s="71"/>
      <c r="P16" s="34">
        <v>1.7</v>
      </c>
    </row>
    <row r="17" spans="2:26" ht="13.5" thickBot="1" x14ac:dyDescent="0.25">
      <c r="B17" s="35" t="s">
        <v>17</v>
      </c>
      <c r="C17" s="36" t="s">
        <v>58</v>
      </c>
      <c r="D17" s="37"/>
      <c r="E17" s="38">
        <v>0.09</v>
      </c>
      <c r="F17" s="72"/>
      <c r="G17" s="39"/>
      <c r="H17" s="36" t="s">
        <v>44</v>
      </c>
      <c r="I17" s="40">
        <f>P12</f>
        <v>11</v>
      </c>
      <c r="J17" s="41">
        <f>(I17*E17)</f>
        <v>0.99</v>
      </c>
      <c r="K17" s="73" t="s">
        <v>41</v>
      </c>
      <c r="L17" s="33"/>
      <c r="N17" s="25" t="s">
        <v>63</v>
      </c>
      <c r="P17" s="34">
        <v>35</v>
      </c>
      <c r="Q17" s="74"/>
    </row>
    <row r="18" spans="2:26" ht="13.5" thickBot="1" x14ac:dyDescent="0.25">
      <c r="B18" s="35" t="s">
        <v>98</v>
      </c>
      <c r="C18" s="36" t="s">
        <v>133</v>
      </c>
      <c r="D18" s="37"/>
      <c r="E18" s="38">
        <v>0.9</v>
      </c>
      <c r="F18" s="72"/>
      <c r="G18" s="77">
        <v>3</v>
      </c>
      <c r="H18" s="36" t="s">
        <v>44</v>
      </c>
      <c r="I18" s="129">
        <f>P18</f>
        <v>7.5</v>
      </c>
      <c r="J18" s="41">
        <f>I18*E18</f>
        <v>6.75</v>
      </c>
      <c r="K18" s="42" t="s">
        <v>104</v>
      </c>
      <c r="L18" s="33"/>
      <c r="N18" s="25" t="s">
        <v>178</v>
      </c>
      <c r="P18" s="25">
        <v>7.5</v>
      </c>
      <c r="Q18" s="74"/>
    </row>
    <row r="19" spans="2:26" ht="13.5" thickBot="1" x14ac:dyDescent="0.25">
      <c r="B19" s="35" t="s">
        <v>85</v>
      </c>
      <c r="C19" s="36" t="s">
        <v>101</v>
      </c>
      <c r="D19" s="37">
        <v>6</v>
      </c>
      <c r="E19" s="38">
        <v>0.6</v>
      </c>
      <c r="F19" s="72">
        <v>2.5</v>
      </c>
      <c r="G19" s="62">
        <v>3</v>
      </c>
      <c r="H19" s="36" t="s">
        <v>69</v>
      </c>
      <c r="I19" s="129">
        <f>P11</f>
        <v>4.5999999999999996</v>
      </c>
      <c r="J19" s="41">
        <f>(I19*(F19*G19)+(E19*P12))*D19</f>
        <v>246.60000000000002</v>
      </c>
      <c r="K19" s="42" t="s">
        <v>86</v>
      </c>
      <c r="N19" s="25" t="s">
        <v>65</v>
      </c>
      <c r="P19" s="142">
        <v>25</v>
      </c>
    </row>
    <row r="20" spans="2:26" ht="13.5" thickBot="1" x14ac:dyDescent="0.25">
      <c r="B20" s="50" t="s">
        <v>14</v>
      </c>
      <c r="C20" s="75"/>
      <c r="D20" s="76"/>
      <c r="E20" s="54">
        <f>SUM(E14:E19)</f>
        <v>1.8599999999999999</v>
      </c>
      <c r="F20" s="54">
        <f>SUM(F14:F19)</f>
        <v>2.68</v>
      </c>
      <c r="G20" s="68"/>
      <c r="H20" s="51"/>
      <c r="I20" s="78"/>
      <c r="J20" s="57">
        <f>SUM(J14:J19)</f>
        <v>260.07000000000005</v>
      </c>
      <c r="K20" s="58"/>
      <c r="L20" s="33"/>
      <c r="N20" s="25" t="s">
        <v>95</v>
      </c>
      <c r="P20" s="34">
        <v>35</v>
      </c>
    </row>
    <row r="21" spans="2:26" x14ac:dyDescent="0.2">
      <c r="B21" s="185" t="s">
        <v>18</v>
      </c>
      <c r="C21" s="30"/>
      <c r="D21" s="31"/>
      <c r="E21" s="61"/>
      <c r="F21" s="61"/>
      <c r="G21" s="62"/>
      <c r="H21" s="59"/>
      <c r="I21" s="63"/>
      <c r="J21" s="63"/>
      <c r="K21" s="32"/>
      <c r="L21" s="33"/>
      <c r="N21" s="25" t="s">
        <v>96</v>
      </c>
      <c r="P21" s="34">
        <v>3</v>
      </c>
    </row>
    <row r="22" spans="2:26" x14ac:dyDescent="0.2">
      <c r="B22" s="64" t="s">
        <v>19</v>
      </c>
      <c r="C22" s="65" t="s">
        <v>51</v>
      </c>
      <c r="D22" s="66">
        <v>1</v>
      </c>
      <c r="E22" s="67">
        <v>0.12</v>
      </c>
      <c r="F22" s="67">
        <v>0.12</v>
      </c>
      <c r="G22" s="68"/>
      <c r="H22" s="65" t="s">
        <v>69</v>
      </c>
      <c r="I22" s="69">
        <f>P13</f>
        <v>90</v>
      </c>
      <c r="J22" s="41">
        <f>(I22*D22)</f>
        <v>90</v>
      </c>
      <c r="K22" s="70" t="s">
        <v>46</v>
      </c>
      <c r="L22" s="33"/>
      <c r="N22" s="25" t="s">
        <v>135</v>
      </c>
      <c r="O22" s="71"/>
      <c r="P22" s="174">
        <v>0</v>
      </c>
      <c r="Q22" s="71"/>
    </row>
    <row r="23" spans="2:26" x14ac:dyDescent="0.2">
      <c r="B23" s="64" t="s">
        <v>134</v>
      </c>
      <c r="C23" s="65" t="s">
        <v>51</v>
      </c>
      <c r="D23" s="79"/>
      <c r="E23" s="67"/>
      <c r="F23" s="67"/>
      <c r="G23" s="68">
        <v>1</v>
      </c>
      <c r="H23" s="65" t="s">
        <v>44</v>
      </c>
      <c r="I23" s="69">
        <f>P22</f>
        <v>0</v>
      </c>
      <c r="J23" s="40">
        <f>I23*G23</f>
        <v>0</v>
      </c>
      <c r="K23" s="70" t="s">
        <v>136</v>
      </c>
      <c r="L23" s="33"/>
      <c r="O23" s="71"/>
      <c r="P23" s="33"/>
      <c r="Q23" s="180"/>
      <c r="R23" s="180"/>
      <c r="S23" s="84"/>
      <c r="T23" s="84"/>
      <c r="U23" s="33"/>
      <c r="V23" s="180"/>
      <c r="W23" s="85"/>
      <c r="X23" s="85"/>
      <c r="Y23" s="33"/>
      <c r="Z23" s="33"/>
    </row>
    <row r="24" spans="2:26" ht="13.5" thickBot="1" x14ac:dyDescent="0.25">
      <c r="B24" s="43" t="s">
        <v>21</v>
      </c>
      <c r="C24" s="44" t="s">
        <v>51</v>
      </c>
      <c r="D24" s="80"/>
      <c r="E24" s="81">
        <v>0.05</v>
      </c>
      <c r="F24" s="81">
        <v>0.05</v>
      </c>
      <c r="G24" s="39"/>
      <c r="H24" s="44" t="s">
        <v>45</v>
      </c>
      <c r="I24" s="82">
        <f>P14/2000</f>
        <v>1.7999999999999999E-2</v>
      </c>
      <c r="J24" s="40">
        <f>I24*E43</f>
        <v>125.99999999999999</v>
      </c>
      <c r="K24" s="83" t="s">
        <v>47</v>
      </c>
      <c r="L24" s="33"/>
      <c r="O24" s="71"/>
      <c r="Q24" s="71"/>
    </row>
    <row r="25" spans="2:26" ht="13.5" thickBot="1" x14ac:dyDescent="0.25">
      <c r="B25" s="22" t="s">
        <v>14</v>
      </c>
      <c r="C25" s="75"/>
      <c r="D25" s="86"/>
      <c r="E25" s="87">
        <f>SUM(E22:E24)</f>
        <v>0.16999999999999998</v>
      </c>
      <c r="F25" s="87">
        <f>SUM(F22:F24)</f>
        <v>0.16999999999999998</v>
      </c>
      <c r="G25" s="75"/>
      <c r="H25" s="88"/>
      <c r="I25" s="89"/>
      <c r="J25" s="57">
        <f>SUM(J22:J24)</f>
        <v>216</v>
      </c>
      <c r="K25" s="90"/>
      <c r="L25" s="33"/>
      <c r="O25" s="92"/>
      <c r="Q25" s="71"/>
    </row>
    <row r="26" spans="2:26" x14ac:dyDescent="0.2">
      <c r="B26" s="185" t="s">
        <v>22</v>
      </c>
      <c r="C26" s="91"/>
      <c r="D26" s="30"/>
      <c r="E26" s="30"/>
      <c r="F26" s="30"/>
      <c r="G26" s="30"/>
      <c r="H26" s="59"/>
      <c r="I26" s="63"/>
      <c r="J26" s="63"/>
      <c r="K26" s="32"/>
      <c r="L26" s="33"/>
    </row>
    <row r="27" spans="2:26" x14ac:dyDescent="0.2">
      <c r="B27" s="64" t="s">
        <v>23</v>
      </c>
      <c r="C27" s="93"/>
      <c r="D27" s="94"/>
      <c r="E27" s="94"/>
      <c r="F27" s="94"/>
      <c r="G27" s="68">
        <f>P21</f>
        <v>3</v>
      </c>
      <c r="H27" s="65" t="s">
        <v>45</v>
      </c>
      <c r="I27" s="69">
        <f>P20</f>
        <v>35</v>
      </c>
      <c r="J27" s="41">
        <f>(I27*G27)</f>
        <v>105</v>
      </c>
      <c r="K27" s="70" t="s">
        <v>77</v>
      </c>
      <c r="L27" s="33"/>
    </row>
    <row r="28" spans="2:26" x14ac:dyDescent="0.2">
      <c r="B28" s="64" t="s">
        <v>74</v>
      </c>
      <c r="C28" s="93"/>
      <c r="D28" s="94"/>
      <c r="E28" s="94"/>
      <c r="F28" s="94"/>
      <c r="G28" s="68">
        <f>O29</f>
        <v>30</v>
      </c>
      <c r="H28" s="65" t="s">
        <v>45</v>
      </c>
      <c r="I28" s="69">
        <f>Q29</f>
        <v>1.1499999999999999</v>
      </c>
      <c r="J28" s="41">
        <f>(I28*G28)</f>
        <v>34.5</v>
      </c>
      <c r="K28" s="70" t="s">
        <v>138</v>
      </c>
      <c r="L28" s="33"/>
      <c r="O28" s="71" t="s">
        <v>84</v>
      </c>
      <c r="P28" s="71" t="s">
        <v>8</v>
      </c>
      <c r="Q28" s="71" t="s">
        <v>64</v>
      </c>
    </row>
    <row r="29" spans="2:26" x14ac:dyDescent="0.2">
      <c r="B29" s="64" t="s">
        <v>75</v>
      </c>
      <c r="C29" s="93"/>
      <c r="D29" s="94"/>
      <c r="E29" s="94"/>
      <c r="F29" s="94"/>
      <c r="G29" s="68">
        <f>O30</f>
        <v>30</v>
      </c>
      <c r="H29" s="65" t="s">
        <v>45</v>
      </c>
      <c r="I29" s="69">
        <f>Q30</f>
        <v>1.05</v>
      </c>
      <c r="J29" s="41">
        <f>(I29*G29)</f>
        <v>31.5</v>
      </c>
      <c r="K29" s="70" t="s">
        <v>76</v>
      </c>
      <c r="L29" s="33"/>
      <c r="N29" s="33" t="s">
        <v>137</v>
      </c>
      <c r="O29" s="71">
        <v>30</v>
      </c>
      <c r="P29" s="34">
        <f>(Q29*O29)</f>
        <v>34.5</v>
      </c>
      <c r="Q29" s="74">
        <v>1.1499999999999999</v>
      </c>
    </row>
    <row r="30" spans="2:26" x14ac:dyDescent="0.2">
      <c r="B30" s="64" t="s">
        <v>79</v>
      </c>
      <c r="C30" s="93"/>
      <c r="D30" s="65">
        <v>1</v>
      </c>
      <c r="E30" s="94"/>
      <c r="F30" s="94"/>
      <c r="G30" s="68"/>
      <c r="H30" s="65" t="s">
        <v>69</v>
      </c>
      <c r="I30" s="69">
        <f>P16</f>
        <v>1.7</v>
      </c>
      <c r="J30" s="41">
        <f>P16</f>
        <v>1.7</v>
      </c>
      <c r="K30" s="70" t="s">
        <v>80</v>
      </c>
      <c r="L30" s="33"/>
      <c r="N30" s="314" t="s">
        <v>78</v>
      </c>
      <c r="O30" s="71">
        <v>30</v>
      </c>
      <c r="P30" s="34">
        <f>(Q30*O30)</f>
        <v>31.5</v>
      </c>
      <c r="Q30" s="74">
        <v>1.05</v>
      </c>
    </row>
    <row r="31" spans="2:26" x14ac:dyDescent="0.2">
      <c r="B31" s="35" t="s">
        <v>24</v>
      </c>
      <c r="C31" s="95"/>
      <c r="D31" s="97"/>
      <c r="E31" s="97"/>
      <c r="F31" s="97"/>
      <c r="G31" s="97">
        <v>0.3</v>
      </c>
      <c r="H31" s="36" t="s">
        <v>45</v>
      </c>
      <c r="I31" s="40">
        <f>P17</f>
        <v>35</v>
      </c>
      <c r="J31" s="41">
        <f>(I31*G31)</f>
        <v>10.5</v>
      </c>
      <c r="K31" s="167" t="s">
        <v>225</v>
      </c>
      <c r="L31" s="33"/>
      <c r="Q31" s="74"/>
    </row>
    <row r="32" spans="2:26" ht="13.5" thickBot="1" x14ac:dyDescent="0.25">
      <c r="B32" s="98" t="s">
        <v>57</v>
      </c>
      <c r="C32" s="99"/>
      <c r="D32" s="102">
        <v>1</v>
      </c>
      <c r="E32" s="101"/>
      <c r="F32" s="101"/>
      <c r="G32" s="101">
        <v>1</v>
      </c>
      <c r="H32" s="102" t="s">
        <v>69</v>
      </c>
      <c r="I32" s="48">
        <f>P19</f>
        <v>25</v>
      </c>
      <c r="J32" s="41">
        <f>(I32*G32)</f>
        <v>25</v>
      </c>
      <c r="K32" s="49" t="s">
        <v>88</v>
      </c>
      <c r="L32" s="33"/>
    </row>
    <row r="33" spans="2:12" ht="13.5" thickBot="1" x14ac:dyDescent="0.25">
      <c r="B33" s="50" t="s">
        <v>14</v>
      </c>
      <c r="C33" s="103"/>
      <c r="D33" s="76"/>
      <c r="E33" s="75"/>
      <c r="F33" s="75"/>
      <c r="G33" s="75"/>
      <c r="H33" s="75"/>
      <c r="I33" s="75"/>
      <c r="J33" s="57">
        <f>SUM(J27:J32)</f>
        <v>208.2</v>
      </c>
      <c r="K33" s="58"/>
      <c r="L33" s="33"/>
    </row>
    <row r="34" spans="2:12" ht="13.5" thickBot="1" x14ac:dyDescent="0.25">
      <c r="B34" s="50" t="s">
        <v>25</v>
      </c>
      <c r="C34" s="104"/>
      <c r="D34" s="76"/>
      <c r="E34" s="75"/>
      <c r="F34" s="75"/>
      <c r="G34" s="75"/>
      <c r="H34" s="75"/>
      <c r="I34" s="75"/>
      <c r="J34" s="57">
        <f>(J12+J20+J25+J33)</f>
        <v>714.11400000000003</v>
      </c>
      <c r="K34" s="58"/>
      <c r="L34" s="33"/>
    </row>
    <row r="35" spans="2:12" x14ac:dyDescent="0.2">
      <c r="B35" s="185" t="s">
        <v>26</v>
      </c>
      <c r="C35" s="91"/>
      <c r="D35" s="31"/>
      <c r="E35" s="30"/>
      <c r="F35" s="30"/>
      <c r="G35" s="30"/>
      <c r="H35" s="30"/>
      <c r="I35" s="30"/>
      <c r="J35" s="63"/>
      <c r="K35" s="32"/>
      <c r="L35" s="33"/>
    </row>
    <row r="36" spans="2:12" x14ac:dyDescent="0.2">
      <c r="B36" s="35" t="s">
        <v>27</v>
      </c>
      <c r="C36" s="95"/>
      <c r="D36" s="96"/>
      <c r="E36" s="97"/>
      <c r="F36" s="97"/>
      <c r="G36" s="97"/>
      <c r="H36" s="97"/>
      <c r="I36" s="97"/>
      <c r="J36" s="40">
        <f>J34*0.1</f>
        <v>71.4114</v>
      </c>
      <c r="K36" s="42"/>
      <c r="L36" s="33"/>
    </row>
    <row r="37" spans="2:12" x14ac:dyDescent="0.2">
      <c r="B37" s="35" t="s">
        <v>28</v>
      </c>
      <c r="C37" s="95"/>
      <c r="D37" s="96"/>
      <c r="E37" s="97"/>
      <c r="F37" s="97"/>
      <c r="G37" s="97"/>
      <c r="H37" s="97"/>
      <c r="I37" s="97"/>
      <c r="J37" s="40">
        <f>P15</f>
        <v>210</v>
      </c>
      <c r="K37" s="42"/>
      <c r="L37" s="33"/>
    </row>
    <row r="38" spans="2:12" x14ac:dyDescent="0.2">
      <c r="B38" s="35" t="s">
        <v>29</v>
      </c>
      <c r="C38" s="95"/>
      <c r="D38" s="96"/>
      <c r="E38" s="97"/>
      <c r="F38" s="97"/>
      <c r="G38" s="97"/>
      <c r="H38" s="97"/>
      <c r="I38" s="97"/>
      <c r="J38" s="40">
        <f>((J34+J36+J37)*0.07)</f>
        <v>69.686778000000004</v>
      </c>
      <c r="K38" s="42"/>
      <c r="L38" s="33"/>
    </row>
    <row r="39" spans="2:12" x14ac:dyDescent="0.2">
      <c r="B39" s="105" t="s">
        <v>30</v>
      </c>
      <c r="C39" s="93"/>
      <c r="D39" s="106"/>
      <c r="E39" s="107"/>
      <c r="F39" s="107"/>
      <c r="G39" s="107"/>
      <c r="H39" s="107"/>
      <c r="I39" s="107"/>
      <c r="J39" s="108">
        <f>((J34+J36+J37)*0.03)</f>
        <v>29.865762</v>
      </c>
      <c r="K39" s="83"/>
      <c r="L39" s="33"/>
    </row>
    <row r="40" spans="2:12" ht="13.5" thickBot="1" x14ac:dyDescent="0.25">
      <c r="B40" s="109" t="s">
        <v>14</v>
      </c>
      <c r="C40" s="103"/>
      <c r="D40" s="110"/>
      <c r="E40" s="111"/>
      <c r="F40" s="111"/>
      <c r="G40" s="111"/>
      <c r="H40" s="111"/>
      <c r="I40" s="111"/>
      <c r="J40" s="112">
        <f>SUM(J36:J39)</f>
        <v>380.96394000000004</v>
      </c>
      <c r="K40" s="113"/>
      <c r="L40" s="33"/>
    </row>
    <row r="41" spans="2:12" ht="13.5" thickBot="1" x14ac:dyDescent="0.25">
      <c r="B41" s="184" t="s">
        <v>31</v>
      </c>
      <c r="C41" s="104"/>
      <c r="D41" s="76"/>
      <c r="E41" s="54">
        <v>1.32</v>
      </c>
      <c r="F41" s="54">
        <v>0.81</v>
      </c>
      <c r="G41" s="75"/>
      <c r="H41" s="75"/>
      <c r="I41" s="75"/>
      <c r="J41" s="57">
        <f>(J34+J40)</f>
        <v>1095.0779400000001</v>
      </c>
      <c r="K41" s="58"/>
      <c r="L41" s="33"/>
    </row>
    <row r="42" spans="2:12" ht="13.5" thickBot="1" x14ac:dyDescent="0.25">
      <c r="B42" s="33"/>
      <c r="C42" s="33"/>
      <c r="D42" s="33"/>
      <c r="E42" s="114"/>
      <c r="F42" s="114"/>
      <c r="G42" s="33"/>
      <c r="H42" s="33"/>
      <c r="I42" s="33"/>
      <c r="J42" s="33"/>
      <c r="K42" s="33"/>
      <c r="L42" s="33"/>
    </row>
    <row r="43" spans="2:12" x14ac:dyDescent="0.2">
      <c r="B43" s="173" t="s">
        <v>32</v>
      </c>
      <c r="C43" s="116" t="s">
        <v>67</v>
      </c>
      <c r="D43" s="60"/>
      <c r="E43" s="117">
        <v>7000</v>
      </c>
      <c r="F43" s="60"/>
      <c r="G43" s="118"/>
      <c r="H43" s="118"/>
      <c r="I43" s="118"/>
      <c r="J43" s="118"/>
      <c r="K43" s="32"/>
      <c r="L43" s="33"/>
    </row>
    <row r="44" spans="2:12" x14ac:dyDescent="0.2">
      <c r="B44" s="35" t="s">
        <v>33</v>
      </c>
      <c r="C44" s="119" t="s">
        <v>68</v>
      </c>
      <c r="D44" s="119"/>
      <c r="E44" s="120">
        <v>0</v>
      </c>
      <c r="F44" s="121"/>
      <c r="G44" s="33"/>
      <c r="H44" s="33"/>
      <c r="I44" s="33"/>
      <c r="J44" s="33"/>
      <c r="K44" s="83"/>
      <c r="L44" s="33"/>
    </row>
    <row r="45" spans="2:12" x14ac:dyDescent="0.2">
      <c r="B45" s="35" t="s">
        <v>34</v>
      </c>
      <c r="C45" s="119" t="s">
        <v>68</v>
      </c>
      <c r="D45" s="119"/>
      <c r="E45" s="120">
        <f>(J41-E44)</f>
        <v>1095.0779400000001</v>
      </c>
      <c r="F45" s="121"/>
      <c r="G45" s="122"/>
      <c r="H45" s="122"/>
      <c r="I45" s="122"/>
      <c r="J45" s="122"/>
      <c r="K45" s="42"/>
      <c r="L45" s="33"/>
    </row>
    <row r="46" spans="2:12" x14ac:dyDescent="0.2">
      <c r="B46" s="35" t="s">
        <v>34</v>
      </c>
      <c r="C46" s="119" t="s">
        <v>35</v>
      </c>
      <c r="D46" s="119"/>
      <c r="E46" s="120">
        <f>(E45/E43)</f>
        <v>0.15643970571428573</v>
      </c>
      <c r="F46" s="121"/>
      <c r="G46" s="33"/>
      <c r="H46" s="33"/>
      <c r="I46" s="33"/>
      <c r="J46" s="33"/>
      <c r="K46" s="83"/>
      <c r="L46" s="33"/>
    </row>
    <row r="47" spans="2:12" ht="13.5" thickBot="1" x14ac:dyDescent="0.25">
      <c r="B47" s="109" t="s">
        <v>81</v>
      </c>
      <c r="C47" s="123" t="s">
        <v>35</v>
      </c>
      <c r="D47" s="123"/>
      <c r="E47" s="124">
        <f>E46*1.3</f>
        <v>0.20337161742857146</v>
      </c>
      <c r="F47" s="125"/>
      <c r="G47" s="99"/>
      <c r="H47" s="99"/>
      <c r="I47" s="99"/>
      <c r="J47" s="99"/>
      <c r="K47" s="126"/>
      <c r="L47" s="33"/>
    </row>
    <row r="48" spans="2:12" x14ac:dyDescent="0.2">
      <c r="B48" s="33"/>
      <c r="C48" s="180"/>
      <c r="D48" s="180"/>
      <c r="E48" s="127"/>
      <c r="F48" s="127"/>
      <c r="G48" s="33"/>
      <c r="H48" s="33"/>
      <c r="I48" s="33"/>
      <c r="J48" s="33"/>
      <c r="K48" s="33"/>
      <c r="L48" s="33"/>
    </row>
    <row r="49" spans="2:12" x14ac:dyDescent="0.2">
      <c r="B49" s="33"/>
      <c r="C49" s="180"/>
      <c r="D49" s="180"/>
      <c r="E49" s="127"/>
      <c r="F49" s="127"/>
      <c r="G49" s="33"/>
      <c r="H49" s="33"/>
      <c r="I49" s="33"/>
      <c r="J49" s="33"/>
      <c r="K49" s="33"/>
      <c r="L49" s="33"/>
    </row>
    <row r="50" spans="2:12" x14ac:dyDescent="0.2">
      <c r="B50" s="25" t="s">
        <v>82</v>
      </c>
      <c r="L50" s="33"/>
    </row>
    <row r="51" spans="2:12" x14ac:dyDescent="0.2">
      <c r="B51" s="25" t="s">
        <v>217</v>
      </c>
    </row>
    <row r="72" spans="9:10" x14ac:dyDescent="0.2">
      <c r="I72" s="343"/>
      <c r="J72" s="343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</sheetData>
  <mergeCells count="11">
    <mergeCell ref="I74:J74"/>
    <mergeCell ref="I75:J75"/>
    <mergeCell ref="I76:J76"/>
    <mergeCell ref="I77:J77"/>
    <mergeCell ref="I78:J78"/>
    <mergeCell ref="I73:J73"/>
    <mergeCell ref="B1:I1"/>
    <mergeCell ref="C3:D5"/>
    <mergeCell ref="E3:F3"/>
    <mergeCell ref="E4:F4"/>
    <mergeCell ref="I72:J7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8"/>
  <sheetViews>
    <sheetView topLeftCell="A31" zoomScale="110" zoomScaleNormal="110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10" style="25" customWidth="1"/>
    <col min="14" max="17" width="10" style="25" hidden="1" customWidth="1"/>
    <col min="18" max="18" width="10" style="25" customWidth="1"/>
    <col min="19" max="16384" width="9.140625" style="25"/>
  </cols>
  <sheetData>
    <row r="1" spans="2:16" s="19" customFormat="1" x14ac:dyDescent="0.2">
      <c r="B1" s="333" t="s">
        <v>231</v>
      </c>
      <c r="C1" s="333"/>
      <c r="D1" s="333"/>
      <c r="E1" s="333"/>
      <c r="F1" s="333"/>
      <c r="G1" s="333"/>
      <c r="H1" s="333"/>
      <c r="I1" s="333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59</v>
      </c>
      <c r="D7" s="37">
        <v>1</v>
      </c>
      <c r="E7" s="38">
        <v>0.33</v>
      </c>
      <c r="F7" s="38">
        <v>0.33</v>
      </c>
      <c r="G7" s="39">
        <v>1.7</v>
      </c>
      <c r="H7" s="36" t="s">
        <v>69</v>
      </c>
      <c r="I7" s="40">
        <f>P11</f>
        <v>4.5999999999999996</v>
      </c>
      <c r="J7" s="41">
        <f>(G7*I7)+(E7*P12)</f>
        <v>11.45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58</v>
      </c>
      <c r="D8" s="37"/>
      <c r="E8" s="38">
        <v>0.36</v>
      </c>
      <c r="F8" s="38">
        <v>0.36</v>
      </c>
      <c r="G8" s="39">
        <v>1</v>
      </c>
      <c r="H8" s="36" t="s">
        <v>69</v>
      </c>
      <c r="I8" s="40">
        <f>P11</f>
        <v>4.5999999999999996</v>
      </c>
      <c r="J8" s="41">
        <f>(I8*G8)+(P12*E8)</f>
        <v>8.5599999999999987</v>
      </c>
      <c r="K8" s="42" t="s">
        <v>39</v>
      </c>
      <c r="L8" s="33"/>
      <c r="P8" s="34"/>
    </row>
    <row r="9" spans="2:16" x14ac:dyDescent="0.2">
      <c r="B9" s="35" t="s">
        <v>12</v>
      </c>
      <c r="C9" s="36" t="s">
        <v>113</v>
      </c>
      <c r="D9" s="37">
        <v>1</v>
      </c>
      <c r="E9" s="38">
        <v>0.11</v>
      </c>
      <c r="F9" s="38">
        <v>0.11</v>
      </c>
      <c r="G9" s="39">
        <v>0.7</v>
      </c>
      <c r="H9" s="36" t="s">
        <v>69</v>
      </c>
      <c r="I9" s="40">
        <f>P11</f>
        <v>4.5999999999999996</v>
      </c>
      <c r="J9" s="41">
        <f>(I9*G9)+(P12*E9)</f>
        <v>4.43</v>
      </c>
      <c r="K9" s="42" t="s">
        <v>38</v>
      </c>
      <c r="L9" s="33"/>
      <c r="P9" s="34"/>
    </row>
    <row r="10" spans="2:16" x14ac:dyDescent="0.2">
      <c r="B10" s="35" t="s">
        <v>13</v>
      </c>
      <c r="C10" s="36" t="s">
        <v>113</v>
      </c>
      <c r="D10" s="37">
        <v>1</v>
      </c>
      <c r="E10" s="38">
        <v>0.14000000000000001</v>
      </c>
      <c r="F10" s="38">
        <v>0.14000000000000001</v>
      </c>
      <c r="G10" s="39">
        <v>0.7</v>
      </c>
      <c r="H10" s="36" t="s">
        <v>69</v>
      </c>
      <c r="I10" s="40">
        <f>P11</f>
        <v>4.5999999999999996</v>
      </c>
      <c r="J10" s="41">
        <f>(I10*G10)+(P11*E10)</f>
        <v>3.8639999999999999</v>
      </c>
      <c r="K10" s="42" t="s">
        <v>175</v>
      </c>
      <c r="L10" s="33"/>
      <c r="P10" s="25" t="s">
        <v>222</v>
      </c>
    </row>
    <row r="11" spans="2:16" ht="13.5" thickBot="1" x14ac:dyDescent="0.25">
      <c r="B11" s="43" t="s">
        <v>13</v>
      </c>
      <c r="C11" s="44" t="s">
        <v>113</v>
      </c>
      <c r="D11" s="45"/>
      <c r="E11" s="46">
        <v>0.14000000000000001</v>
      </c>
      <c r="F11" s="46"/>
      <c r="G11" s="47"/>
      <c r="H11" s="44" t="s">
        <v>44</v>
      </c>
      <c r="I11" s="48">
        <f>P12</f>
        <v>11</v>
      </c>
      <c r="J11" s="41">
        <f>P12*E11</f>
        <v>1.54</v>
      </c>
      <c r="K11" s="49" t="s">
        <v>166</v>
      </c>
      <c r="L11" s="33"/>
      <c r="N11" s="25" t="s">
        <v>87</v>
      </c>
      <c r="P11" s="34">
        <v>4.5999999999999996</v>
      </c>
    </row>
    <row r="12" spans="2:16" ht="13.5" thickBot="1" x14ac:dyDescent="0.25">
      <c r="B12" s="50" t="s">
        <v>14</v>
      </c>
      <c r="C12" s="51"/>
      <c r="D12" s="52"/>
      <c r="E12" s="53">
        <f>SUM(E7:E11)</f>
        <v>1.08</v>
      </c>
      <c r="F12" s="54">
        <f>SUM(F7:F11)</f>
        <v>0.94</v>
      </c>
      <c r="G12" s="55"/>
      <c r="H12" s="52"/>
      <c r="I12" s="56"/>
      <c r="J12" s="57">
        <f>SUM(J7:J11)</f>
        <v>29.843999999999998</v>
      </c>
      <c r="K12" s="58"/>
      <c r="L12" s="33"/>
      <c r="N12" s="25" t="s">
        <v>177</v>
      </c>
      <c r="P12" s="34">
        <v>11</v>
      </c>
    </row>
    <row r="13" spans="2:16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62</v>
      </c>
      <c r="P13" s="34">
        <v>20</v>
      </c>
    </row>
    <row r="14" spans="2:16" x14ac:dyDescent="0.2">
      <c r="B14" s="64" t="s">
        <v>16</v>
      </c>
      <c r="C14" s="65" t="s">
        <v>132</v>
      </c>
      <c r="D14" s="66">
        <v>1</v>
      </c>
      <c r="E14" s="67">
        <v>0.09</v>
      </c>
      <c r="F14" s="67">
        <v>0.09</v>
      </c>
      <c r="G14" s="68">
        <v>0.3</v>
      </c>
      <c r="H14" s="65" t="s">
        <v>69</v>
      </c>
      <c r="I14" s="69">
        <f>P11</f>
        <v>4.5999999999999996</v>
      </c>
      <c r="J14" s="41">
        <f>(P12*E14)+(G14*I14)</f>
        <v>2.37</v>
      </c>
      <c r="K14" s="70" t="s">
        <v>42</v>
      </c>
      <c r="L14" s="33"/>
      <c r="N14" s="25" t="s">
        <v>21</v>
      </c>
      <c r="P14" s="34">
        <v>36</v>
      </c>
    </row>
    <row r="15" spans="2:16" x14ac:dyDescent="0.2">
      <c r="B15" s="35" t="s">
        <v>16</v>
      </c>
      <c r="C15" s="36" t="s">
        <v>132</v>
      </c>
      <c r="D15" s="37"/>
      <c r="E15" s="38">
        <v>0.09</v>
      </c>
      <c r="F15" s="38"/>
      <c r="G15" s="39"/>
      <c r="H15" s="36" t="s">
        <v>44</v>
      </c>
      <c r="I15" s="40">
        <f>P12</f>
        <v>11</v>
      </c>
      <c r="J15" s="40">
        <f>I15*E15</f>
        <v>0.99</v>
      </c>
      <c r="K15" s="42" t="s">
        <v>41</v>
      </c>
      <c r="L15" s="33"/>
      <c r="N15" s="25" t="s">
        <v>28</v>
      </c>
      <c r="P15" s="34">
        <v>210</v>
      </c>
    </row>
    <row r="16" spans="2:16" x14ac:dyDescent="0.2">
      <c r="B16" s="64" t="s">
        <v>17</v>
      </c>
      <c r="C16" s="65" t="s">
        <v>58</v>
      </c>
      <c r="D16" s="66">
        <v>1</v>
      </c>
      <c r="E16" s="67">
        <v>0.09</v>
      </c>
      <c r="F16" s="67">
        <v>0.09</v>
      </c>
      <c r="G16" s="68">
        <v>0.3</v>
      </c>
      <c r="H16" s="65" t="s">
        <v>69</v>
      </c>
      <c r="I16" s="69">
        <f>P11</f>
        <v>4.5999999999999996</v>
      </c>
      <c r="J16" s="41">
        <f>(P12*E16)+(G16*I16)</f>
        <v>2.37</v>
      </c>
      <c r="K16" s="70" t="s">
        <v>43</v>
      </c>
      <c r="L16" s="33"/>
      <c r="N16" s="25" t="s">
        <v>79</v>
      </c>
      <c r="O16" s="71"/>
      <c r="P16" s="34">
        <v>1.7</v>
      </c>
    </row>
    <row r="17" spans="2:26" ht="13.5" thickBot="1" x14ac:dyDescent="0.25">
      <c r="B17" s="35" t="s">
        <v>17</v>
      </c>
      <c r="C17" s="36" t="s">
        <v>58</v>
      </c>
      <c r="D17" s="37"/>
      <c r="E17" s="38">
        <v>0.09</v>
      </c>
      <c r="F17" s="72"/>
      <c r="G17" s="39"/>
      <c r="H17" s="36" t="s">
        <v>44</v>
      </c>
      <c r="I17" s="40">
        <f>P12</f>
        <v>11</v>
      </c>
      <c r="J17" s="41">
        <f>(I17*E17)</f>
        <v>0.99</v>
      </c>
      <c r="K17" s="73" t="s">
        <v>41</v>
      </c>
      <c r="L17" s="33"/>
      <c r="N17" s="25" t="s">
        <v>63</v>
      </c>
      <c r="P17" s="34">
        <v>35</v>
      </c>
      <c r="Q17" s="74"/>
    </row>
    <row r="18" spans="2:26" ht="13.5" thickBot="1" x14ac:dyDescent="0.25">
      <c r="B18" s="35" t="s">
        <v>98</v>
      </c>
      <c r="C18" s="36" t="s">
        <v>133</v>
      </c>
      <c r="D18" s="37"/>
      <c r="E18" s="38">
        <v>0.9</v>
      </c>
      <c r="F18" s="72"/>
      <c r="G18" s="77">
        <v>3</v>
      </c>
      <c r="H18" s="36" t="s">
        <v>44</v>
      </c>
      <c r="I18" s="129">
        <f>P18</f>
        <v>7.5</v>
      </c>
      <c r="J18" s="41">
        <f>I18*E18</f>
        <v>6.75</v>
      </c>
      <c r="K18" s="42" t="s">
        <v>104</v>
      </c>
      <c r="L18" s="33"/>
      <c r="N18" s="25" t="s">
        <v>178</v>
      </c>
      <c r="P18" s="25">
        <v>7.5</v>
      </c>
      <c r="Q18" s="74"/>
    </row>
    <row r="19" spans="2:26" ht="13.5" thickBot="1" x14ac:dyDescent="0.25">
      <c r="B19" s="35" t="s">
        <v>85</v>
      </c>
      <c r="C19" s="36" t="s">
        <v>101</v>
      </c>
      <c r="D19" s="37">
        <v>4</v>
      </c>
      <c r="E19" s="38">
        <v>0.6</v>
      </c>
      <c r="F19" s="72">
        <v>2.5</v>
      </c>
      <c r="G19" s="62">
        <v>3</v>
      </c>
      <c r="H19" s="36" t="s">
        <v>69</v>
      </c>
      <c r="I19" s="129">
        <f>P11</f>
        <v>4.5999999999999996</v>
      </c>
      <c r="J19" s="41">
        <f>(I19*(F19*G19)+(E19*P12))*D19</f>
        <v>164.4</v>
      </c>
      <c r="K19" s="42" t="s">
        <v>86</v>
      </c>
      <c r="N19" s="25" t="s">
        <v>65</v>
      </c>
      <c r="P19" s="142">
        <v>25</v>
      </c>
    </row>
    <row r="20" spans="2:26" ht="13.5" thickBot="1" x14ac:dyDescent="0.25">
      <c r="B20" s="50" t="s">
        <v>14</v>
      </c>
      <c r="C20" s="75"/>
      <c r="D20" s="76"/>
      <c r="E20" s="54">
        <f>SUM(E14:E19)</f>
        <v>1.8599999999999999</v>
      </c>
      <c r="F20" s="54">
        <f>SUM(F14:F19)</f>
        <v>2.68</v>
      </c>
      <c r="G20" s="68"/>
      <c r="H20" s="51"/>
      <c r="I20" s="78"/>
      <c r="J20" s="57">
        <f>SUM(J14:J19)</f>
        <v>177.87</v>
      </c>
      <c r="K20" s="58"/>
      <c r="L20" s="33"/>
      <c r="N20" s="25" t="s">
        <v>95</v>
      </c>
      <c r="P20" s="34">
        <v>35</v>
      </c>
    </row>
    <row r="21" spans="2:26" x14ac:dyDescent="0.2">
      <c r="B21" s="3" t="s">
        <v>18</v>
      </c>
      <c r="C21" s="30"/>
      <c r="D21" s="31"/>
      <c r="E21" s="61"/>
      <c r="F21" s="61"/>
      <c r="G21" s="62"/>
      <c r="H21" s="59"/>
      <c r="I21" s="63"/>
      <c r="J21" s="63"/>
      <c r="K21" s="32"/>
      <c r="L21" s="33"/>
      <c r="N21" s="25" t="s">
        <v>96</v>
      </c>
      <c r="P21" s="34">
        <v>3</v>
      </c>
    </row>
    <row r="22" spans="2:26" x14ac:dyDescent="0.2">
      <c r="B22" s="64" t="s">
        <v>19</v>
      </c>
      <c r="C22" s="65" t="s">
        <v>51</v>
      </c>
      <c r="D22" s="66">
        <v>1</v>
      </c>
      <c r="E22" s="67">
        <v>0.12</v>
      </c>
      <c r="F22" s="67">
        <v>0.12</v>
      </c>
      <c r="G22" s="68"/>
      <c r="H22" s="65" t="s">
        <v>69</v>
      </c>
      <c r="I22" s="69">
        <f>P13</f>
        <v>20</v>
      </c>
      <c r="J22" s="41">
        <f>(I22*D22)</f>
        <v>20</v>
      </c>
      <c r="K22" s="70" t="s">
        <v>46</v>
      </c>
      <c r="L22" s="33"/>
      <c r="N22" s="25" t="s">
        <v>135</v>
      </c>
      <c r="O22" s="71"/>
      <c r="P22" s="174">
        <v>70</v>
      </c>
      <c r="Q22" s="71"/>
    </row>
    <row r="23" spans="2:26" x14ac:dyDescent="0.2">
      <c r="B23" s="64" t="s">
        <v>134</v>
      </c>
      <c r="C23" s="65" t="s">
        <v>51</v>
      </c>
      <c r="D23" s="79"/>
      <c r="E23" s="67"/>
      <c r="F23" s="67"/>
      <c r="G23" s="68">
        <v>1</v>
      </c>
      <c r="H23" s="65" t="s">
        <v>44</v>
      </c>
      <c r="I23" s="69">
        <f>P22</f>
        <v>70</v>
      </c>
      <c r="J23" s="40">
        <f>I23*G23</f>
        <v>70</v>
      </c>
      <c r="K23" s="70" t="s">
        <v>136</v>
      </c>
      <c r="L23" s="33"/>
      <c r="O23" s="71"/>
      <c r="P23" s="33"/>
      <c r="Q23" s="24"/>
      <c r="R23" s="24"/>
      <c r="S23" s="84"/>
      <c r="T23" s="84"/>
      <c r="U23" s="33"/>
      <c r="V23" s="24"/>
      <c r="W23" s="85"/>
      <c r="X23" s="85"/>
      <c r="Y23" s="33"/>
      <c r="Z23" s="33"/>
    </row>
    <row r="24" spans="2:26" ht="13.5" thickBot="1" x14ac:dyDescent="0.25">
      <c r="B24" s="43" t="s">
        <v>21</v>
      </c>
      <c r="C24" s="44" t="s">
        <v>51</v>
      </c>
      <c r="D24" s="80"/>
      <c r="E24" s="81">
        <v>0.05</v>
      </c>
      <c r="F24" s="81">
        <v>0.05</v>
      </c>
      <c r="G24" s="39"/>
      <c r="H24" s="44" t="s">
        <v>45</v>
      </c>
      <c r="I24" s="82">
        <f>P14/2000</f>
        <v>1.7999999999999999E-2</v>
      </c>
      <c r="J24" s="40">
        <f>I24*E43</f>
        <v>16.739999999999998</v>
      </c>
      <c r="K24" s="83" t="s">
        <v>47</v>
      </c>
      <c r="L24" s="33"/>
      <c r="O24" s="71"/>
      <c r="Q24" s="71"/>
    </row>
    <row r="25" spans="2:26" ht="13.5" thickBot="1" x14ac:dyDescent="0.25">
      <c r="B25" s="22" t="s">
        <v>14</v>
      </c>
      <c r="C25" s="75"/>
      <c r="D25" s="86"/>
      <c r="E25" s="87">
        <f>SUM(E22:E24)</f>
        <v>0.16999999999999998</v>
      </c>
      <c r="F25" s="87">
        <f>SUM(F22:F24)</f>
        <v>0.16999999999999998</v>
      </c>
      <c r="G25" s="75"/>
      <c r="H25" s="88"/>
      <c r="I25" s="89"/>
      <c r="J25" s="57">
        <f>SUM(J22:J24)</f>
        <v>106.74</v>
      </c>
      <c r="K25" s="90"/>
      <c r="L25" s="33"/>
      <c r="O25" s="92"/>
      <c r="Q25" s="71"/>
    </row>
    <row r="26" spans="2:26" x14ac:dyDescent="0.2">
      <c r="B26" s="3" t="s">
        <v>22</v>
      </c>
      <c r="C26" s="91"/>
      <c r="D26" s="30"/>
      <c r="E26" s="30"/>
      <c r="F26" s="30"/>
      <c r="G26" s="30"/>
      <c r="H26" s="59"/>
      <c r="I26" s="63"/>
      <c r="J26" s="63"/>
      <c r="K26" s="32"/>
      <c r="L26" s="33"/>
    </row>
    <row r="27" spans="2:26" x14ac:dyDescent="0.2">
      <c r="B27" s="64" t="s">
        <v>23</v>
      </c>
      <c r="C27" s="93"/>
      <c r="D27" s="94"/>
      <c r="E27" s="94"/>
      <c r="F27" s="94"/>
      <c r="G27" s="68">
        <f>P21</f>
        <v>3</v>
      </c>
      <c r="H27" s="65" t="s">
        <v>45</v>
      </c>
      <c r="I27" s="69">
        <f>P20</f>
        <v>35</v>
      </c>
      <c r="J27" s="41">
        <f>(I27*G27)</f>
        <v>105</v>
      </c>
      <c r="K27" s="70" t="s">
        <v>77</v>
      </c>
      <c r="L27" s="33"/>
    </row>
    <row r="28" spans="2:26" x14ac:dyDescent="0.2">
      <c r="B28" s="64" t="s">
        <v>74</v>
      </c>
      <c r="C28" s="93"/>
      <c r="D28" s="94"/>
      <c r="E28" s="94"/>
      <c r="F28" s="94"/>
      <c r="G28" s="68">
        <f>O29</f>
        <v>30</v>
      </c>
      <c r="H28" s="65" t="s">
        <v>45</v>
      </c>
      <c r="I28" s="69">
        <f>Q29</f>
        <v>1.1499999999999999</v>
      </c>
      <c r="J28" s="41">
        <f>(I28*G28)</f>
        <v>34.5</v>
      </c>
      <c r="K28" s="70" t="s">
        <v>138</v>
      </c>
      <c r="L28" s="33"/>
      <c r="O28" s="71" t="s">
        <v>84</v>
      </c>
      <c r="P28" s="71" t="s">
        <v>8</v>
      </c>
      <c r="Q28" s="71" t="s">
        <v>64</v>
      </c>
    </row>
    <row r="29" spans="2:26" x14ac:dyDescent="0.2">
      <c r="B29" s="64" t="s">
        <v>75</v>
      </c>
      <c r="C29" s="93"/>
      <c r="D29" s="94"/>
      <c r="E29" s="94"/>
      <c r="F29" s="94"/>
      <c r="G29" s="68">
        <f>O30</f>
        <v>30</v>
      </c>
      <c r="H29" s="65" t="s">
        <v>45</v>
      </c>
      <c r="I29" s="69">
        <f>Q30</f>
        <v>1.05</v>
      </c>
      <c r="J29" s="41">
        <f>(I29*G29)</f>
        <v>31.5</v>
      </c>
      <c r="K29" s="70" t="s">
        <v>76</v>
      </c>
      <c r="L29" s="33"/>
      <c r="N29" s="33" t="s">
        <v>137</v>
      </c>
      <c r="O29" s="71">
        <v>30</v>
      </c>
      <c r="P29" s="34">
        <f>(Q29*O29)</f>
        <v>34.5</v>
      </c>
      <c r="Q29" s="74">
        <v>1.1499999999999999</v>
      </c>
    </row>
    <row r="30" spans="2:26" x14ac:dyDescent="0.2">
      <c r="B30" s="64" t="s">
        <v>79</v>
      </c>
      <c r="C30" s="93"/>
      <c r="D30" s="65">
        <v>1</v>
      </c>
      <c r="E30" s="94"/>
      <c r="F30" s="94"/>
      <c r="G30" s="68"/>
      <c r="H30" s="65" t="s">
        <v>69</v>
      </c>
      <c r="I30" s="69">
        <f>P16</f>
        <v>1.7</v>
      </c>
      <c r="J30" s="41">
        <f>P16</f>
        <v>1.7</v>
      </c>
      <c r="K30" s="70" t="s">
        <v>80</v>
      </c>
      <c r="L30" s="33"/>
      <c r="N30" s="178" t="s">
        <v>78</v>
      </c>
      <c r="O30" s="71">
        <v>30</v>
      </c>
      <c r="P30" s="34">
        <f>(Q30*O30)</f>
        <v>31.5</v>
      </c>
      <c r="Q30" s="74">
        <v>1.05</v>
      </c>
    </row>
    <row r="31" spans="2:26" x14ac:dyDescent="0.2">
      <c r="B31" s="35" t="s">
        <v>24</v>
      </c>
      <c r="C31" s="95"/>
      <c r="D31" s="97"/>
      <c r="E31" s="97"/>
      <c r="F31" s="97"/>
      <c r="G31" s="97">
        <v>0.3</v>
      </c>
      <c r="H31" s="36" t="s">
        <v>45</v>
      </c>
      <c r="I31" s="40">
        <f>P17</f>
        <v>35</v>
      </c>
      <c r="J31" s="41">
        <f>(I31*G31)</f>
        <v>10.5</v>
      </c>
      <c r="K31" s="167" t="s">
        <v>225</v>
      </c>
      <c r="L31" s="33"/>
      <c r="Q31" s="74"/>
    </row>
    <row r="32" spans="2:26" ht="13.5" thickBot="1" x14ac:dyDescent="0.25">
      <c r="B32" s="98" t="s">
        <v>57</v>
      </c>
      <c r="C32" s="99"/>
      <c r="D32" s="102">
        <v>1</v>
      </c>
      <c r="E32" s="101"/>
      <c r="F32" s="101"/>
      <c r="G32" s="101">
        <v>1</v>
      </c>
      <c r="H32" s="102" t="s">
        <v>69</v>
      </c>
      <c r="I32" s="48">
        <f>P19</f>
        <v>25</v>
      </c>
      <c r="J32" s="41">
        <f>(I32*G32)</f>
        <v>25</v>
      </c>
      <c r="K32" s="49" t="s">
        <v>88</v>
      </c>
      <c r="L32" s="33"/>
    </row>
    <row r="33" spans="2:12" ht="13.5" thickBot="1" x14ac:dyDescent="0.25">
      <c r="B33" s="50" t="s">
        <v>14</v>
      </c>
      <c r="C33" s="103"/>
      <c r="D33" s="76"/>
      <c r="E33" s="75"/>
      <c r="F33" s="75"/>
      <c r="G33" s="75"/>
      <c r="H33" s="75"/>
      <c r="I33" s="75"/>
      <c r="J33" s="57">
        <f>SUM(J27:J32)</f>
        <v>208.2</v>
      </c>
      <c r="K33" s="58"/>
      <c r="L33" s="33"/>
    </row>
    <row r="34" spans="2:12" ht="13.5" thickBot="1" x14ac:dyDescent="0.25">
      <c r="B34" s="50" t="s">
        <v>25</v>
      </c>
      <c r="C34" s="104"/>
      <c r="D34" s="76"/>
      <c r="E34" s="75"/>
      <c r="F34" s="75"/>
      <c r="G34" s="75"/>
      <c r="H34" s="75"/>
      <c r="I34" s="75"/>
      <c r="J34" s="57">
        <f>(J12+J20+J25+J33)</f>
        <v>522.654</v>
      </c>
      <c r="K34" s="58"/>
      <c r="L34" s="33"/>
    </row>
    <row r="35" spans="2:12" x14ac:dyDescent="0.2">
      <c r="B35" s="3" t="s">
        <v>26</v>
      </c>
      <c r="C35" s="91"/>
      <c r="D35" s="31"/>
      <c r="E35" s="30"/>
      <c r="F35" s="30"/>
      <c r="G35" s="30"/>
      <c r="H35" s="30"/>
      <c r="I35" s="30"/>
      <c r="J35" s="63"/>
      <c r="K35" s="32"/>
      <c r="L35" s="33"/>
    </row>
    <row r="36" spans="2:12" x14ac:dyDescent="0.2">
      <c r="B36" s="35" t="s">
        <v>27</v>
      </c>
      <c r="C36" s="95"/>
      <c r="D36" s="96"/>
      <c r="E36" s="97"/>
      <c r="F36" s="97"/>
      <c r="G36" s="97"/>
      <c r="H36" s="97"/>
      <c r="I36" s="97"/>
      <c r="J36" s="40">
        <f>J34*0.1</f>
        <v>52.2654</v>
      </c>
      <c r="K36" s="42"/>
      <c r="L36" s="33"/>
    </row>
    <row r="37" spans="2:12" x14ac:dyDescent="0.2">
      <c r="B37" s="35" t="s">
        <v>28</v>
      </c>
      <c r="C37" s="95"/>
      <c r="D37" s="96"/>
      <c r="E37" s="97"/>
      <c r="F37" s="97"/>
      <c r="G37" s="97"/>
      <c r="H37" s="97"/>
      <c r="I37" s="97"/>
      <c r="J37" s="40">
        <f>P15</f>
        <v>210</v>
      </c>
      <c r="K37" s="42"/>
      <c r="L37" s="33"/>
    </row>
    <row r="38" spans="2:12" x14ac:dyDescent="0.2">
      <c r="B38" s="35" t="s">
        <v>29</v>
      </c>
      <c r="C38" s="95"/>
      <c r="D38" s="96"/>
      <c r="E38" s="97"/>
      <c r="F38" s="97"/>
      <c r="G38" s="97"/>
      <c r="H38" s="97"/>
      <c r="I38" s="97"/>
      <c r="J38" s="40">
        <f>((J34+J36+J37)*0.07)</f>
        <v>54.944358000000008</v>
      </c>
      <c r="K38" s="42"/>
      <c r="L38" s="33"/>
    </row>
    <row r="39" spans="2:12" x14ac:dyDescent="0.2">
      <c r="B39" s="105" t="s">
        <v>30</v>
      </c>
      <c r="C39" s="93"/>
      <c r="D39" s="106"/>
      <c r="E39" s="107"/>
      <c r="F39" s="107"/>
      <c r="G39" s="107"/>
      <c r="H39" s="107"/>
      <c r="I39" s="107"/>
      <c r="J39" s="108">
        <f>((J34+J36+J37)*0.03)</f>
        <v>23.547581999999998</v>
      </c>
      <c r="K39" s="83"/>
      <c r="L39" s="33"/>
    </row>
    <row r="40" spans="2:12" ht="13.5" thickBot="1" x14ac:dyDescent="0.25">
      <c r="B40" s="109" t="s">
        <v>14</v>
      </c>
      <c r="C40" s="103"/>
      <c r="D40" s="110"/>
      <c r="E40" s="111"/>
      <c r="F40" s="111"/>
      <c r="G40" s="111"/>
      <c r="H40" s="111"/>
      <c r="I40" s="111"/>
      <c r="J40" s="112">
        <f>SUM(J36:J39)</f>
        <v>340.75734</v>
      </c>
      <c r="K40" s="113"/>
      <c r="L40" s="33"/>
    </row>
    <row r="41" spans="2:12" ht="13.5" thickBot="1" x14ac:dyDescent="0.25">
      <c r="B41" s="2" t="s">
        <v>31</v>
      </c>
      <c r="C41" s="104"/>
      <c r="D41" s="76"/>
      <c r="E41" s="54">
        <v>1.32</v>
      </c>
      <c r="F41" s="54">
        <v>0.81</v>
      </c>
      <c r="G41" s="75"/>
      <c r="H41" s="75"/>
      <c r="I41" s="75"/>
      <c r="J41" s="57">
        <f>(J34+J40)</f>
        <v>863.41134</v>
      </c>
      <c r="K41" s="58"/>
      <c r="L41" s="33"/>
    </row>
    <row r="42" spans="2:12" ht="13.5" thickBot="1" x14ac:dyDescent="0.25">
      <c r="B42" s="33"/>
      <c r="C42" s="33"/>
      <c r="D42" s="33"/>
      <c r="E42" s="114"/>
      <c r="F42" s="114"/>
      <c r="G42" s="33"/>
      <c r="H42" s="33"/>
      <c r="I42" s="33"/>
      <c r="J42" s="33"/>
      <c r="K42" s="33"/>
      <c r="L42" s="33"/>
    </row>
    <row r="43" spans="2:12" x14ac:dyDescent="0.2">
      <c r="B43" s="173" t="s">
        <v>32</v>
      </c>
      <c r="C43" s="116" t="s">
        <v>67</v>
      </c>
      <c r="D43" s="60"/>
      <c r="E43" s="117">
        <v>930</v>
      </c>
      <c r="F43" s="60"/>
      <c r="G43" s="118"/>
      <c r="H43" s="118"/>
      <c r="I43" s="118"/>
      <c r="J43" s="118"/>
      <c r="K43" s="32"/>
      <c r="L43" s="33"/>
    </row>
    <row r="44" spans="2:12" x14ac:dyDescent="0.2">
      <c r="B44" s="35" t="s">
        <v>33</v>
      </c>
      <c r="C44" s="119" t="s">
        <v>68</v>
      </c>
      <c r="D44" s="119"/>
      <c r="E44" s="120">
        <v>0</v>
      </c>
      <c r="F44" s="121"/>
      <c r="G44" s="33"/>
      <c r="H44" s="33"/>
      <c r="I44" s="33"/>
      <c r="J44" s="33"/>
      <c r="K44" s="83"/>
      <c r="L44" s="33"/>
    </row>
    <row r="45" spans="2:12" x14ac:dyDescent="0.2">
      <c r="B45" s="35" t="s">
        <v>34</v>
      </c>
      <c r="C45" s="119" t="s">
        <v>68</v>
      </c>
      <c r="D45" s="119"/>
      <c r="E45" s="120">
        <f>(J41-E44)</f>
        <v>863.41134</v>
      </c>
      <c r="F45" s="121"/>
      <c r="G45" s="122"/>
      <c r="H45" s="122"/>
      <c r="I45" s="122"/>
      <c r="J45" s="122"/>
      <c r="K45" s="42"/>
      <c r="L45" s="33"/>
    </row>
    <row r="46" spans="2:12" x14ac:dyDescent="0.2">
      <c r="B46" s="35" t="s">
        <v>34</v>
      </c>
      <c r="C46" s="119" t="s">
        <v>35</v>
      </c>
      <c r="D46" s="119"/>
      <c r="E46" s="120">
        <f>(E45/E43)</f>
        <v>0.92839929032258062</v>
      </c>
      <c r="F46" s="121"/>
      <c r="G46" s="33"/>
      <c r="H46" s="33"/>
      <c r="I46" s="33"/>
      <c r="J46" s="33"/>
      <c r="K46" s="83"/>
      <c r="L46" s="33"/>
    </row>
    <row r="47" spans="2:12" ht="13.5" thickBot="1" x14ac:dyDescent="0.25">
      <c r="B47" s="109" t="s">
        <v>81</v>
      </c>
      <c r="C47" s="123" t="s">
        <v>35</v>
      </c>
      <c r="D47" s="123"/>
      <c r="E47" s="124">
        <f>E46*1.3</f>
        <v>1.2069190774193548</v>
      </c>
      <c r="F47" s="125"/>
      <c r="G47" s="99"/>
      <c r="H47" s="99"/>
      <c r="I47" s="99"/>
      <c r="J47" s="99"/>
      <c r="K47" s="126"/>
      <c r="L47" s="33"/>
    </row>
    <row r="48" spans="2:12" x14ac:dyDescent="0.2">
      <c r="B48" s="33"/>
      <c r="C48" s="24"/>
      <c r="D48" s="24"/>
      <c r="E48" s="127"/>
      <c r="F48" s="127"/>
      <c r="G48" s="33"/>
      <c r="H48" s="33"/>
      <c r="I48" s="33"/>
      <c r="J48" s="33"/>
      <c r="K48" s="33"/>
      <c r="L48" s="33"/>
    </row>
    <row r="49" spans="2:12" x14ac:dyDescent="0.2">
      <c r="B49" s="33"/>
      <c r="C49" s="24"/>
      <c r="D49" s="24"/>
      <c r="E49" s="127"/>
      <c r="F49" s="127"/>
      <c r="G49" s="33"/>
      <c r="H49" s="33"/>
      <c r="I49" s="33"/>
      <c r="J49" s="33"/>
      <c r="K49" s="33"/>
      <c r="L49" s="33"/>
    </row>
    <row r="50" spans="2:12" x14ac:dyDescent="0.2">
      <c r="B50" s="25" t="s">
        <v>82</v>
      </c>
      <c r="L50" s="33"/>
    </row>
    <row r="51" spans="2:12" x14ac:dyDescent="0.2">
      <c r="B51" s="25" t="s">
        <v>217</v>
      </c>
    </row>
    <row r="72" spans="9:10" x14ac:dyDescent="0.2">
      <c r="I72" s="343"/>
      <c r="J72" s="343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</sheetData>
  <mergeCells count="11">
    <mergeCell ref="I77:J77"/>
    <mergeCell ref="I78:J78"/>
    <mergeCell ref="I72:J72"/>
    <mergeCell ref="I73:J73"/>
    <mergeCell ref="I74:J74"/>
    <mergeCell ref="I75:J75"/>
    <mergeCell ref="B1:I1"/>
    <mergeCell ref="C3:D5"/>
    <mergeCell ref="E3:F3"/>
    <mergeCell ref="E4:F4"/>
    <mergeCell ref="I76:J76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77" orientation="landscape" r:id="rId1"/>
  <headerFooter alignWithMargins="0"/>
  <ignoredErrors>
    <ignoredError sqref="J3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7"/>
  <sheetViews>
    <sheetView topLeftCell="A7" zoomScale="90" zoomScaleNormal="90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9.85546875" style="25" customWidth="1"/>
    <col min="14" max="14" width="11.85546875" style="25" hidden="1" customWidth="1"/>
    <col min="15" max="17" width="9.85546875" style="25" hidden="1" customWidth="1"/>
    <col min="18" max="18" width="9.85546875" style="25" customWidth="1"/>
    <col min="19" max="16384" width="9.140625" style="25"/>
  </cols>
  <sheetData>
    <row r="1" spans="2:16" s="19" customFormat="1" x14ac:dyDescent="0.2">
      <c r="B1" s="333" t="s">
        <v>240</v>
      </c>
      <c r="C1" s="334"/>
      <c r="D1" s="334"/>
      <c r="E1" s="334"/>
      <c r="F1" s="334"/>
      <c r="G1" s="334"/>
      <c r="H1" s="334"/>
      <c r="I1" s="334"/>
      <c r="J1" s="334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139</v>
      </c>
      <c r="D7" s="37">
        <v>1</v>
      </c>
      <c r="E7" s="38">
        <v>0.35</v>
      </c>
      <c r="F7" s="38">
        <v>0.35</v>
      </c>
      <c r="G7" s="39">
        <v>1.7</v>
      </c>
      <c r="H7" s="36" t="s">
        <v>69</v>
      </c>
      <c r="I7" s="40">
        <f>P11</f>
        <v>4.5999999999999996</v>
      </c>
      <c r="J7" s="41">
        <f>(G7*I7)+(E7*P12)</f>
        <v>11.669999999999998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113</v>
      </c>
      <c r="D8" s="37"/>
      <c r="E8" s="38">
        <v>0.06</v>
      </c>
      <c r="F8" s="38">
        <v>0.06</v>
      </c>
      <c r="G8" s="39">
        <v>1</v>
      </c>
      <c r="H8" s="36" t="s">
        <v>69</v>
      </c>
      <c r="I8" s="40">
        <f>P11</f>
        <v>4.5999999999999996</v>
      </c>
      <c r="J8" s="41">
        <f>(I8*G8)+(E8*P12)</f>
        <v>5.26</v>
      </c>
      <c r="K8" s="42" t="s">
        <v>39</v>
      </c>
      <c r="L8" s="33"/>
      <c r="P8" s="34"/>
    </row>
    <row r="9" spans="2:16" x14ac:dyDescent="0.2">
      <c r="B9" s="35" t="s">
        <v>12</v>
      </c>
      <c r="C9" s="36" t="s">
        <v>113</v>
      </c>
      <c r="D9" s="37">
        <v>1</v>
      </c>
      <c r="E9" s="38">
        <v>0.06</v>
      </c>
      <c r="F9" s="38">
        <v>0.06</v>
      </c>
      <c r="G9" s="39">
        <v>0.7</v>
      </c>
      <c r="H9" s="36" t="s">
        <v>69</v>
      </c>
      <c r="I9" s="40">
        <f>P11</f>
        <v>4.5999999999999996</v>
      </c>
      <c r="J9" s="41">
        <f>(I9*G9)+(P12*E9)</f>
        <v>3.88</v>
      </c>
      <c r="K9" s="42" t="s">
        <v>38</v>
      </c>
      <c r="L9" s="33"/>
      <c r="P9" s="34"/>
    </row>
    <row r="10" spans="2:16" x14ac:dyDescent="0.2">
      <c r="B10" s="35" t="s">
        <v>140</v>
      </c>
      <c r="C10" s="36" t="s">
        <v>142</v>
      </c>
      <c r="D10" s="37">
        <v>1</v>
      </c>
      <c r="E10" s="38">
        <v>0.4</v>
      </c>
      <c r="F10" s="38">
        <v>0.4</v>
      </c>
      <c r="G10" s="39">
        <v>0.7</v>
      </c>
      <c r="H10" s="36" t="s">
        <v>69</v>
      </c>
      <c r="I10" s="40">
        <f>P11</f>
        <v>4.5999999999999996</v>
      </c>
      <c r="J10" s="41">
        <f>(I10*G10)+(P11*E10)</f>
        <v>5.0599999999999996</v>
      </c>
      <c r="K10" s="42" t="s">
        <v>144</v>
      </c>
      <c r="L10" s="33"/>
      <c r="P10" s="142" t="s">
        <v>222</v>
      </c>
    </row>
    <row r="11" spans="2:16" ht="13.5" thickBot="1" x14ac:dyDescent="0.25">
      <c r="B11" s="43" t="s">
        <v>141</v>
      </c>
      <c r="C11" s="44" t="s">
        <v>143</v>
      </c>
      <c r="D11" s="45"/>
      <c r="E11" s="46">
        <v>8</v>
      </c>
      <c r="F11" s="46"/>
      <c r="G11" s="47"/>
      <c r="H11" s="44" t="s">
        <v>44</v>
      </c>
      <c r="I11" s="48">
        <f>P13/8</f>
        <v>0.9375</v>
      </c>
      <c r="J11" s="41">
        <f>I11*E11</f>
        <v>7.5</v>
      </c>
      <c r="K11" s="49" t="s">
        <v>41</v>
      </c>
      <c r="L11" s="33"/>
      <c r="N11" s="25" t="s">
        <v>87</v>
      </c>
      <c r="P11" s="34">
        <v>4.5999999999999996</v>
      </c>
    </row>
    <row r="12" spans="2:16" ht="13.5" thickBot="1" x14ac:dyDescent="0.25">
      <c r="B12" s="50" t="s">
        <v>14</v>
      </c>
      <c r="C12" s="51"/>
      <c r="D12" s="52"/>
      <c r="E12" s="53">
        <f>SUM(E7:E11)</f>
        <v>8.8699999999999992</v>
      </c>
      <c r="F12" s="54">
        <f>SUM(F7:F11)</f>
        <v>0.87</v>
      </c>
      <c r="G12" s="55"/>
      <c r="H12" s="52"/>
      <c r="I12" s="56"/>
      <c r="J12" s="57">
        <f>SUM(J7:J11)</f>
        <v>33.369999999999997</v>
      </c>
      <c r="K12" s="58"/>
      <c r="L12" s="33"/>
      <c r="N12" s="25" t="s">
        <v>177</v>
      </c>
      <c r="P12" s="34">
        <v>11</v>
      </c>
    </row>
    <row r="13" spans="2:16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178</v>
      </c>
      <c r="P13" s="34">
        <v>7.5</v>
      </c>
    </row>
    <row r="14" spans="2:16" x14ac:dyDescent="0.2">
      <c r="B14" s="64" t="s">
        <v>16</v>
      </c>
      <c r="C14" s="65" t="s">
        <v>143</v>
      </c>
      <c r="D14" s="66">
        <v>1</v>
      </c>
      <c r="E14" s="67">
        <v>1</v>
      </c>
      <c r="F14" s="67"/>
      <c r="G14" s="68"/>
      <c r="H14" s="65" t="s">
        <v>69</v>
      </c>
      <c r="I14" s="69">
        <f>P12/8</f>
        <v>1.375</v>
      </c>
      <c r="J14" s="41">
        <f>(E14*I14)</f>
        <v>1.375</v>
      </c>
      <c r="K14" s="70" t="s">
        <v>145</v>
      </c>
      <c r="L14" s="33"/>
      <c r="N14" s="25" t="s">
        <v>21</v>
      </c>
      <c r="P14" s="34">
        <v>35</v>
      </c>
    </row>
    <row r="15" spans="2:16" x14ac:dyDescent="0.2">
      <c r="B15" s="35" t="s">
        <v>16</v>
      </c>
      <c r="C15" s="36" t="s">
        <v>143</v>
      </c>
      <c r="D15" s="37"/>
      <c r="E15" s="38">
        <v>1.5</v>
      </c>
      <c r="F15" s="38"/>
      <c r="G15" s="39"/>
      <c r="H15" s="36" t="s">
        <v>44</v>
      </c>
      <c r="I15" s="40">
        <f>P12/8</f>
        <v>1.375</v>
      </c>
      <c r="J15" s="40">
        <f>I15*E15</f>
        <v>2.0625</v>
      </c>
      <c r="K15" s="42" t="s">
        <v>146</v>
      </c>
      <c r="L15" s="33"/>
      <c r="N15" s="25" t="s">
        <v>28</v>
      </c>
      <c r="P15" s="34">
        <v>210</v>
      </c>
    </row>
    <row r="16" spans="2:16" x14ac:dyDescent="0.2">
      <c r="B16" s="64" t="s">
        <v>98</v>
      </c>
      <c r="C16" s="65" t="s">
        <v>147</v>
      </c>
      <c r="D16" s="66">
        <v>1</v>
      </c>
      <c r="E16" s="67">
        <v>12</v>
      </c>
      <c r="F16" s="67">
        <v>0.09</v>
      </c>
      <c r="G16" s="68"/>
      <c r="H16" s="65" t="s">
        <v>69</v>
      </c>
      <c r="I16" s="69">
        <f>P13/8</f>
        <v>0.9375</v>
      </c>
      <c r="J16" s="41">
        <f>(I16*E16)</f>
        <v>11.25</v>
      </c>
      <c r="K16" s="70" t="s">
        <v>149</v>
      </c>
      <c r="L16" s="33"/>
      <c r="N16" s="25" t="s">
        <v>79</v>
      </c>
      <c r="O16" s="71"/>
      <c r="P16" s="34">
        <v>1.7</v>
      </c>
    </row>
    <row r="17" spans="2:26" x14ac:dyDescent="0.2">
      <c r="B17" s="35" t="s">
        <v>17</v>
      </c>
      <c r="C17" s="36" t="s">
        <v>114</v>
      </c>
      <c r="D17" s="37"/>
      <c r="E17" s="38">
        <v>0.15</v>
      </c>
      <c r="F17" s="72">
        <v>0.3</v>
      </c>
      <c r="G17" s="39"/>
      <c r="H17" s="36" t="s">
        <v>44</v>
      </c>
      <c r="I17" s="40">
        <f>P12</f>
        <v>11</v>
      </c>
      <c r="J17" s="41">
        <f>(I17*E17)+(P11*F17)</f>
        <v>3.03</v>
      </c>
      <c r="K17" s="73" t="s">
        <v>150</v>
      </c>
      <c r="L17" s="33"/>
      <c r="N17" s="25" t="s">
        <v>63</v>
      </c>
      <c r="P17" s="34">
        <v>50</v>
      </c>
      <c r="Q17" s="74"/>
    </row>
    <row r="18" spans="2:26" ht="13.5" thickBot="1" x14ac:dyDescent="0.25">
      <c r="B18" s="35" t="s">
        <v>85</v>
      </c>
      <c r="C18" s="36" t="s">
        <v>148</v>
      </c>
      <c r="D18" s="37">
        <v>5</v>
      </c>
      <c r="E18" s="38">
        <v>2.77</v>
      </c>
      <c r="F18" s="72">
        <v>2.4</v>
      </c>
      <c r="G18" s="128">
        <v>3</v>
      </c>
      <c r="H18" s="36" t="s">
        <v>69</v>
      </c>
      <c r="I18" s="129">
        <f>P11</f>
        <v>4.5999999999999996</v>
      </c>
      <c r="J18" s="41">
        <f>(I18*(F18*G18)+(E18*P12))*D18</f>
        <v>317.95</v>
      </c>
      <c r="K18" s="42" t="s">
        <v>86</v>
      </c>
      <c r="N18" s="25" t="s">
        <v>65</v>
      </c>
      <c r="P18" s="25">
        <v>145</v>
      </c>
    </row>
    <row r="19" spans="2:26" ht="13.5" thickBot="1" x14ac:dyDescent="0.25">
      <c r="B19" s="50" t="s">
        <v>14</v>
      </c>
      <c r="C19" s="75"/>
      <c r="D19" s="76"/>
      <c r="E19" s="54">
        <f>SUM(E14:E18)</f>
        <v>17.420000000000002</v>
      </c>
      <c r="F19" s="54">
        <f>SUM(F14:F18)</f>
        <v>2.79</v>
      </c>
      <c r="G19" s="77"/>
      <c r="H19" s="51"/>
      <c r="I19" s="78"/>
      <c r="J19" s="57">
        <f>SUM(J14:J18)</f>
        <v>335.66750000000002</v>
      </c>
      <c r="K19" s="58"/>
      <c r="L19" s="33"/>
      <c r="N19" s="25" t="s">
        <v>155</v>
      </c>
      <c r="P19" s="34">
        <v>0.4</v>
      </c>
    </row>
    <row r="20" spans="2:26" x14ac:dyDescent="0.2">
      <c r="B20" s="3" t="s">
        <v>18</v>
      </c>
      <c r="C20" s="30"/>
      <c r="D20" s="31"/>
      <c r="E20" s="61"/>
      <c r="F20" s="61"/>
      <c r="G20" s="62"/>
      <c r="H20" s="59"/>
      <c r="I20" s="63"/>
      <c r="J20" s="63"/>
      <c r="K20" s="32"/>
      <c r="L20" s="33"/>
      <c r="N20" s="25" t="s">
        <v>176</v>
      </c>
      <c r="P20" s="148">
        <v>2000</v>
      </c>
    </row>
    <row r="21" spans="2:26" x14ac:dyDescent="0.2">
      <c r="B21" s="64" t="s">
        <v>153</v>
      </c>
      <c r="C21" s="65" t="s">
        <v>151</v>
      </c>
      <c r="D21" s="66">
        <v>1</v>
      </c>
      <c r="E21" s="67">
        <v>6</v>
      </c>
      <c r="F21" s="67"/>
      <c r="G21" s="68"/>
      <c r="H21" s="65" t="s">
        <v>69</v>
      </c>
      <c r="I21" s="69">
        <f>P13</f>
        <v>7.5</v>
      </c>
      <c r="J21" s="41">
        <f>(I21*E21)</f>
        <v>45</v>
      </c>
      <c r="K21" s="70" t="s">
        <v>149</v>
      </c>
      <c r="L21" s="33"/>
      <c r="O21" s="71"/>
      <c r="Q21" s="71"/>
    </row>
    <row r="22" spans="2:26" x14ac:dyDescent="0.2">
      <c r="B22" s="64" t="s">
        <v>152</v>
      </c>
      <c r="C22" s="65" t="s">
        <v>151</v>
      </c>
      <c r="D22" s="79"/>
      <c r="E22" s="67">
        <v>2</v>
      </c>
      <c r="F22" s="67"/>
      <c r="G22" s="68"/>
      <c r="H22" s="65" t="s">
        <v>44</v>
      </c>
      <c r="I22" s="69">
        <f>P13</f>
        <v>7.5</v>
      </c>
      <c r="J22" s="40">
        <f>(I22*E22)</f>
        <v>15</v>
      </c>
      <c r="K22" s="70" t="s">
        <v>149</v>
      </c>
      <c r="L22" s="33"/>
      <c r="O22" s="71"/>
      <c r="P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ht="13.5" thickBot="1" x14ac:dyDescent="0.25">
      <c r="B23" s="43" t="s">
        <v>21</v>
      </c>
      <c r="C23" s="44" t="s">
        <v>151</v>
      </c>
      <c r="D23" s="80"/>
      <c r="E23" s="81">
        <v>0.05</v>
      </c>
      <c r="F23" s="81">
        <v>0.05</v>
      </c>
      <c r="G23" s="47"/>
      <c r="H23" s="44" t="s">
        <v>45</v>
      </c>
      <c r="I23" s="146">
        <f>P14/5000</f>
        <v>7.0000000000000001E-3</v>
      </c>
      <c r="J23" s="40">
        <f>I23*E42</f>
        <v>40.6</v>
      </c>
      <c r="K23" s="83" t="s">
        <v>47</v>
      </c>
      <c r="L23" s="33"/>
      <c r="O23" s="71"/>
      <c r="Q23" s="71"/>
    </row>
    <row r="24" spans="2:26" ht="13.5" thickBot="1" x14ac:dyDescent="0.25">
      <c r="B24" s="22" t="s">
        <v>14</v>
      </c>
      <c r="C24" s="75"/>
      <c r="D24" s="86"/>
      <c r="E24" s="87">
        <f>SUM(E21:E23)</f>
        <v>8.0500000000000007</v>
      </c>
      <c r="F24" s="87">
        <f>SUM(F21:F23)</f>
        <v>0.05</v>
      </c>
      <c r="G24" s="75"/>
      <c r="H24" s="88"/>
      <c r="I24" s="89"/>
      <c r="J24" s="57">
        <f>SUM(J21:J23)</f>
        <v>100.6</v>
      </c>
      <c r="K24" s="90"/>
      <c r="L24" s="33"/>
      <c r="O24" s="92"/>
      <c r="Q24" s="71"/>
    </row>
    <row r="25" spans="2:26" x14ac:dyDescent="0.2">
      <c r="B25" s="3" t="s">
        <v>22</v>
      </c>
      <c r="C25" s="91"/>
      <c r="D25" s="31"/>
      <c r="E25" s="30"/>
      <c r="F25" s="30"/>
      <c r="G25" s="30"/>
      <c r="H25" s="59"/>
      <c r="I25" s="63"/>
      <c r="J25" s="63"/>
      <c r="K25" s="32"/>
      <c r="L25" s="33"/>
    </row>
    <row r="26" spans="2:26" x14ac:dyDescent="0.2">
      <c r="B26" s="64" t="s">
        <v>154</v>
      </c>
      <c r="C26" s="93"/>
      <c r="D26" s="79"/>
      <c r="E26" s="94"/>
      <c r="F26" s="94"/>
      <c r="G26" s="68">
        <f>P20</f>
        <v>2000</v>
      </c>
      <c r="H26" s="65" t="s">
        <v>173</v>
      </c>
      <c r="I26" s="69">
        <f>P19</f>
        <v>0.4</v>
      </c>
      <c r="J26" s="41">
        <f>(I26*G26)</f>
        <v>800</v>
      </c>
      <c r="K26" s="70" t="s">
        <v>77</v>
      </c>
      <c r="L26" s="33"/>
    </row>
    <row r="27" spans="2:26" x14ac:dyDescent="0.2">
      <c r="B27" s="64" t="s">
        <v>74</v>
      </c>
      <c r="C27" s="93"/>
      <c r="D27" s="79"/>
      <c r="E27" s="94"/>
      <c r="F27" s="94"/>
      <c r="G27" s="68">
        <f>O28</f>
        <v>25</v>
      </c>
      <c r="H27" s="65" t="s">
        <v>45</v>
      </c>
      <c r="I27" s="69">
        <f>Q28</f>
        <v>1.1000000000000001</v>
      </c>
      <c r="J27" s="41">
        <f>(I27*G27)</f>
        <v>27.500000000000004</v>
      </c>
      <c r="K27" s="70" t="s">
        <v>157</v>
      </c>
      <c r="L27" s="33"/>
      <c r="O27" s="71" t="s">
        <v>84</v>
      </c>
      <c r="P27" s="71" t="s">
        <v>8</v>
      </c>
      <c r="Q27" s="71" t="s">
        <v>64</v>
      </c>
    </row>
    <row r="28" spans="2:26" x14ac:dyDescent="0.2">
      <c r="B28" s="64" t="s">
        <v>75</v>
      </c>
      <c r="C28" s="93"/>
      <c r="D28" s="79"/>
      <c r="E28" s="94"/>
      <c r="F28" s="94"/>
      <c r="G28" s="68">
        <f>O29</f>
        <v>50</v>
      </c>
      <c r="H28" s="65" t="s">
        <v>45</v>
      </c>
      <c r="I28" s="69">
        <f>Q29</f>
        <v>0.85</v>
      </c>
      <c r="J28" s="41">
        <f>(I28*G28)</f>
        <v>42.5</v>
      </c>
      <c r="K28" s="70" t="s">
        <v>158</v>
      </c>
      <c r="L28" s="33"/>
      <c r="N28" s="33" t="s">
        <v>120</v>
      </c>
      <c r="O28" s="71">
        <v>25</v>
      </c>
      <c r="P28" s="34">
        <f>(Q28*O28)</f>
        <v>27.500000000000004</v>
      </c>
      <c r="Q28" s="74">
        <v>1.1000000000000001</v>
      </c>
    </row>
    <row r="29" spans="2:26" x14ac:dyDescent="0.2">
      <c r="B29" s="64" t="s">
        <v>79</v>
      </c>
      <c r="C29" s="93"/>
      <c r="D29" s="66">
        <v>1</v>
      </c>
      <c r="E29" s="94"/>
      <c r="F29" s="94"/>
      <c r="G29" s="68"/>
      <c r="H29" s="65" t="s">
        <v>69</v>
      </c>
      <c r="I29" s="69">
        <f>P16</f>
        <v>1.7</v>
      </c>
      <c r="J29" s="41">
        <f>P16</f>
        <v>1.7</v>
      </c>
      <c r="K29" s="70" t="s">
        <v>80</v>
      </c>
      <c r="L29" s="33"/>
      <c r="N29" s="25" t="s">
        <v>156</v>
      </c>
      <c r="O29" s="71">
        <v>50</v>
      </c>
      <c r="P29" s="34">
        <f>(Q29*O29)</f>
        <v>42.5</v>
      </c>
      <c r="Q29" s="74">
        <v>0.85</v>
      </c>
    </row>
    <row r="30" spans="2:26" x14ac:dyDescent="0.2">
      <c r="B30" s="35" t="s">
        <v>24</v>
      </c>
      <c r="C30" s="95"/>
      <c r="D30" s="96"/>
      <c r="E30" s="97"/>
      <c r="F30" s="97"/>
      <c r="G30" s="97">
        <v>0.8</v>
      </c>
      <c r="H30" s="36" t="s">
        <v>45</v>
      </c>
      <c r="I30" s="40">
        <f>P17</f>
        <v>50</v>
      </c>
      <c r="J30" s="41">
        <f>(I30*G30)</f>
        <v>40</v>
      </c>
      <c r="K30" s="42" t="s">
        <v>159</v>
      </c>
      <c r="L30" s="33"/>
      <c r="Q30" s="74"/>
    </row>
    <row r="31" spans="2:26" ht="13.5" thickBot="1" x14ac:dyDescent="0.25">
      <c r="B31" s="98" t="s">
        <v>57</v>
      </c>
      <c r="C31" s="99"/>
      <c r="D31" s="100"/>
      <c r="E31" s="101"/>
      <c r="F31" s="101"/>
      <c r="G31" s="101"/>
      <c r="H31" s="102" t="s">
        <v>69</v>
      </c>
      <c r="I31" s="48">
        <f>P18</f>
        <v>145</v>
      </c>
      <c r="J31" s="82">
        <f>P18</f>
        <v>145</v>
      </c>
      <c r="K31" s="49" t="s">
        <v>88</v>
      </c>
      <c r="L31" s="33"/>
    </row>
    <row r="32" spans="2:26" ht="13.5" thickBot="1" x14ac:dyDescent="0.25">
      <c r="B32" s="50" t="s">
        <v>14</v>
      </c>
      <c r="C32" s="103"/>
      <c r="D32" s="76"/>
      <c r="E32" s="75"/>
      <c r="F32" s="75"/>
      <c r="G32" s="75"/>
      <c r="H32" s="75"/>
      <c r="I32" s="75"/>
      <c r="J32" s="57">
        <f>SUM(J26:J31)</f>
        <v>1056.7</v>
      </c>
      <c r="K32" s="58"/>
      <c r="L32" s="33"/>
    </row>
    <row r="33" spans="2:12" ht="13.5" thickBot="1" x14ac:dyDescent="0.25">
      <c r="B33" s="50" t="s">
        <v>25</v>
      </c>
      <c r="C33" s="104"/>
      <c r="D33" s="76"/>
      <c r="E33" s="75"/>
      <c r="F33" s="75"/>
      <c r="G33" s="75"/>
      <c r="H33" s="75"/>
      <c r="I33" s="75"/>
      <c r="J33" s="57">
        <f>(J12+J19+J24+J32)</f>
        <v>1526.3375000000001</v>
      </c>
      <c r="K33" s="58"/>
      <c r="L33" s="33"/>
    </row>
    <row r="34" spans="2:12" x14ac:dyDescent="0.2">
      <c r="B34" s="3" t="s">
        <v>26</v>
      </c>
      <c r="C34" s="91"/>
      <c r="D34" s="31"/>
      <c r="E34" s="30"/>
      <c r="F34" s="30"/>
      <c r="G34" s="30"/>
      <c r="H34" s="30"/>
      <c r="I34" s="30"/>
      <c r="J34" s="63"/>
      <c r="K34" s="32"/>
      <c r="L34" s="33"/>
    </row>
    <row r="35" spans="2:12" x14ac:dyDescent="0.2">
      <c r="B35" s="35" t="s">
        <v>27</v>
      </c>
      <c r="C35" s="95"/>
      <c r="D35" s="96"/>
      <c r="E35" s="97"/>
      <c r="F35" s="97"/>
      <c r="G35" s="97"/>
      <c r="H35" s="95"/>
      <c r="I35" s="97"/>
      <c r="J35" s="40">
        <f>J33*0.05</f>
        <v>76.31687500000001</v>
      </c>
      <c r="K35" s="42"/>
      <c r="L35" s="33"/>
    </row>
    <row r="36" spans="2:12" x14ac:dyDescent="0.2">
      <c r="B36" s="35" t="s">
        <v>28</v>
      </c>
      <c r="D36" s="96"/>
      <c r="E36" s="97"/>
      <c r="F36" s="97"/>
      <c r="G36" s="97"/>
      <c r="H36" s="97"/>
      <c r="I36" s="97"/>
      <c r="J36" s="40">
        <f>P15</f>
        <v>210</v>
      </c>
      <c r="K36" s="42"/>
      <c r="L36" s="33"/>
    </row>
    <row r="37" spans="2:12" x14ac:dyDescent="0.2">
      <c r="B37" s="35" t="s">
        <v>29</v>
      </c>
      <c r="C37" s="95"/>
      <c r="D37" s="96"/>
      <c r="E37" s="97"/>
      <c r="F37" s="97"/>
      <c r="G37" s="97"/>
      <c r="H37" s="97"/>
      <c r="I37" s="97"/>
      <c r="J37" s="40">
        <f>((J33+J35+J36)*0.07)</f>
        <v>126.88580625000002</v>
      </c>
      <c r="K37" s="42"/>
      <c r="L37" s="33"/>
    </row>
    <row r="38" spans="2:12" x14ac:dyDescent="0.2">
      <c r="B38" s="105" t="s">
        <v>30</v>
      </c>
      <c r="C38" s="93"/>
      <c r="D38" s="106"/>
      <c r="E38" s="107"/>
      <c r="F38" s="107"/>
      <c r="G38" s="107"/>
      <c r="H38" s="107"/>
      <c r="I38" s="107"/>
      <c r="J38" s="108">
        <f>((J33+J35+J36)*0.03)</f>
        <v>54.379631250000003</v>
      </c>
      <c r="K38" s="83"/>
      <c r="L38" s="33"/>
    </row>
    <row r="39" spans="2:12" ht="13.5" thickBot="1" x14ac:dyDescent="0.25">
      <c r="B39" s="109" t="s">
        <v>14</v>
      </c>
      <c r="C39" s="103"/>
      <c r="D39" s="110"/>
      <c r="E39" s="111"/>
      <c r="F39" s="111"/>
      <c r="G39" s="111"/>
      <c r="H39" s="111"/>
      <c r="I39" s="111"/>
      <c r="J39" s="112">
        <f>SUM(J35:J38)</f>
        <v>467.5823125</v>
      </c>
      <c r="K39" s="113"/>
      <c r="L39" s="33"/>
    </row>
    <row r="40" spans="2:12" ht="13.5" thickBot="1" x14ac:dyDescent="0.25">
      <c r="B40" s="2" t="s">
        <v>31</v>
      </c>
      <c r="C40" s="104"/>
      <c r="D40" s="76"/>
      <c r="E40" s="54">
        <v>1.32</v>
      </c>
      <c r="F40" s="54">
        <v>0.81</v>
      </c>
      <c r="G40" s="75"/>
      <c r="H40" s="75"/>
      <c r="I40" s="75"/>
      <c r="J40" s="57">
        <f>(J33+J39)</f>
        <v>1993.9198125</v>
      </c>
      <c r="K40" s="58"/>
      <c r="L40" s="33"/>
    </row>
    <row r="41" spans="2:12" ht="13.5" thickBot="1" x14ac:dyDescent="0.25">
      <c r="B41" s="33"/>
      <c r="C41" s="33"/>
      <c r="D41" s="33"/>
      <c r="E41" s="114"/>
      <c r="F41" s="114"/>
      <c r="G41" s="33"/>
      <c r="H41" s="33"/>
      <c r="I41" s="33"/>
      <c r="J41" s="33"/>
      <c r="K41" s="33"/>
      <c r="L41" s="33"/>
    </row>
    <row r="42" spans="2:12" x14ac:dyDescent="0.2">
      <c r="B42" s="115" t="s">
        <v>32</v>
      </c>
      <c r="C42" s="116" t="s">
        <v>67</v>
      </c>
      <c r="D42" s="60"/>
      <c r="E42" s="117">
        <v>5800</v>
      </c>
      <c r="F42" s="60"/>
      <c r="G42" s="118"/>
      <c r="H42" s="118"/>
      <c r="I42" s="118"/>
      <c r="J42" s="118"/>
      <c r="K42" s="32"/>
      <c r="L42" s="33"/>
    </row>
    <row r="43" spans="2:12" x14ac:dyDescent="0.2">
      <c r="B43" s="35" t="s">
        <v>33</v>
      </c>
      <c r="C43" s="119" t="s">
        <v>68</v>
      </c>
      <c r="D43" s="119"/>
      <c r="E43" s="120">
        <v>0</v>
      </c>
      <c r="F43" s="121"/>
      <c r="G43" s="33"/>
      <c r="H43" s="33"/>
      <c r="I43" s="33"/>
      <c r="J43" s="33"/>
      <c r="K43" s="83"/>
      <c r="L43" s="33"/>
    </row>
    <row r="44" spans="2:12" x14ac:dyDescent="0.2">
      <c r="B44" s="35" t="s">
        <v>34</v>
      </c>
      <c r="C44" s="119" t="s">
        <v>68</v>
      </c>
      <c r="D44" s="119"/>
      <c r="E44" s="120">
        <f>(J40-E43)</f>
        <v>1993.9198125</v>
      </c>
      <c r="F44" s="121"/>
      <c r="G44" s="122"/>
      <c r="H44" s="122"/>
      <c r="I44" s="122"/>
      <c r="J44" s="122"/>
      <c r="K44" s="42"/>
      <c r="L44" s="33"/>
    </row>
    <row r="45" spans="2:12" x14ac:dyDescent="0.2">
      <c r="B45" s="35" t="s">
        <v>34</v>
      </c>
      <c r="C45" s="119" t="s">
        <v>35</v>
      </c>
      <c r="D45" s="119"/>
      <c r="E45" s="120">
        <f>(E44/E42)</f>
        <v>0.3437792780172414</v>
      </c>
      <c r="F45" s="121"/>
      <c r="G45" s="33"/>
      <c r="H45" s="33"/>
      <c r="I45" s="33"/>
      <c r="J45" s="33"/>
      <c r="K45" s="83"/>
      <c r="L45" s="33"/>
    </row>
    <row r="46" spans="2:12" ht="13.5" thickBot="1" x14ac:dyDescent="0.25">
      <c r="B46" s="109" t="s">
        <v>81</v>
      </c>
      <c r="C46" s="123" t="s">
        <v>35</v>
      </c>
      <c r="D46" s="123"/>
      <c r="E46" s="124">
        <f>E45*1.3</f>
        <v>0.44691306142241383</v>
      </c>
      <c r="F46" s="125"/>
      <c r="G46" s="99"/>
      <c r="H46" s="99"/>
      <c r="I46" s="99"/>
      <c r="J46" s="99"/>
      <c r="K46" s="126"/>
      <c r="L46" s="33"/>
    </row>
    <row r="47" spans="2:12" x14ac:dyDescent="0.2">
      <c r="B47" s="33"/>
      <c r="C47" s="24"/>
      <c r="D47" s="24"/>
      <c r="E47" s="127"/>
      <c r="F47" s="127"/>
      <c r="G47" s="33"/>
      <c r="H47" s="33"/>
      <c r="I47" s="33"/>
      <c r="J47" s="33"/>
      <c r="K47" s="33"/>
      <c r="L47" s="33"/>
    </row>
    <row r="48" spans="2:12" x14ac:dyDescent="0.2">
      <c r="B48" s="33"/>
      <c r="C48" s="24"/>
      <c r="D48" s="24"/>
      <c r="E48" s="127"/>
      <c r="F48" s="127"/>
      <c r="G48" s="33"/>
      <c r="H48" s="33"/>
      <c r="I48" s="33"/>
      <c r="J48" s="33"/>
      <c r="K48" s="33"/>
      <c r="L48" s="33"/>
    </row>
    <row r="49" spans="2:12" x14ac:dyDescent="0.2">
      <c r="B49" s="25" t="s">
        <v>82</v>
      </c>
      <c r="L49" s="33"/>
    </row>
    <row r="50" spans="2:12" x14ac:dyDescent="0.2">
      <c r="B50" s="25" t="s">
        <v>217</v>
      </c>
    </row>
    <row r="71" spans="9:10" x14ac:dyDescent="0.2">
      <c r="I71" s="343"/>
      <c r="J71" s="343"/>
    </row>
    <row r="72" spans="9:10" x14ac:dyDescent="0.2">
      <c r="I72" s="332"/>
      <c r="J72" s="332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</sheetData>
  <mergeCells count="11">
    <mergeCell ref="I76:J76"/>
    <mergeCell ref="I77:J77"/>
    <mergeCell ref="I71:J71"/>
    <mergeCell ref="I72:J72"/>
    <mergeCell ref="I73:J73"/>
    <mergeCell ref="I74:J74"/>
    <mergeCell ref="B1:J1"/>
    <mergeCell ref="C3:D5"/>
    <mergeCell ref="E3:F3"/>
    <mergeCell ref="E4:F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1" orientation="landscape" r:id="rId1"/>
  <headerFooter alignWithMargins="0"/>
  <ignoredErrors>
    <ignoredError sqref="J2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8"/>
  <sheetViews>
    <sheetView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85546875" style="25" bestFit="1" customWidth="1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9.5703125" style="25" customWidth="1"/>
    <col min="14" max="17" width="9.5703125" style="25" hidden="1" customWidth="1"/>
    <col min="18" max="22" width="9.5703125" style="25" customWidth="1"/>
    <col min="23" max="16384" width="9.140625" style="25"/>
  </cols>
  <sheetData>
    <row r="1" spans="2:16" s="19" customFormat="1" x14ac:dyDescent="0.2">
      <c r="B1" s="333" t="s">
        <v>241</v>
      </c>
      <c r="C1" s="334"/>
      <c r="D1" s="334"/>
      <c r="E1" s="334"/>
      <c r="F1" s="334"/>
      <c r="G1" s="334"/>
      <c r="H1" s="334"/>
      <c r="I1" s="334"/>
      <c r="J1" s="334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59</v>
      </c>
      <c r="D7" s="37">
        <v>1</v>
      </c>
      <c r="E7" s="38">
        <v>0.6</v>
      </c>
      <c r="F7" s="38">
        <v>0.6</v>
      </c>
      <c r="G7" s="39">
        <v>2</v>
      </c>
      <c r="H7" s="36" t="s">
        <v>69</v>
      </c>
      <c r="I7" s="40">
        <f>P11</f>
        <v>4.5999999999999996</v>
      </c>
      <c r="J7" s="41">
        <f>(G7*I7)+(E7*P12)</f>
        <v>15.799999999999999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112</v>
      </c>
      <c r="D8" s="37"/>
      <c r="E8" s="38">
        <v>0.15</v>
      </c>
      <c r="F8" s="38">
        <v>0.15</v>
      </c>
      <c r="G8" s="39">
        <v>1.5</v>
      </c>
      <c r="H8" s="36" t="s">
        <v>69</v>
      </c>
      <c r="I8" s="40">
        <f>P11</f>
        <v>4.5999999999999996</v>
      </c>
      <c r="J8" s="41">
        <f>(I8*G8)+(P12*E8)</f>
        <v>8.5499999999999989</v>
      </c>
      <c r="K8" s="42" t="s">
        <v>39</v>
      </c>
      <c r="L8" s="33"/>
      <c r="P8" s="34"/>
    </row>
    <row r="9" spans="2:16" x14ac:dyDescent="0.2">
      <c r="B9" s="35" t="s">
        <v>12</v>
      </c>
      <c r="C9" s="36" t="s">
        <v>160</v>
      </c>
      <c r="D9" s="37">
        <v>1</v>
      </c>
      <c r="E9" s="38">
        <v>0.15</v>
      </c>
      <c r="F9" s="38">
        <v>0.15</v>
      </c>
      <c r="G9" s="39">
        <v>1.5</v>
      </c>
      <c r="H9" s="36" t="s">
        <v>69</v>
      </c>
      <c r="I9" s="40">
        <f>P11</f>
        <v>4.5999999999999996</v>
      </c>
      <c r="J9" s="41">
        <f>(I9*G9)+(P12*E9)</f>
        <v>8.5499999999999989</v>
      </c>
      <c r="K9" s="42" t="s">
        <v>38</v>
      </c>
      <c r="L9" s="33"/>
      <c r="P9" s="34"/>
    </row>
    <row r="10" spans="2:16" x14ac:dyDescent="0.2">
      <c r="B10" s="35" t="s">
        <v>165</v>
      </c>
      <c r="C10" s="36" t="s">
        <v>160</v>
      </c>
      <c r="D10" s="37">
        <v>1</v>
      </c>
      <c r="E10" s="38">
        <v>0.2</v>
      </c>
      <c r="F10" s="38">
        <v>0.2</v>
      </c>
      <c r="G10" s="39">
        <v>1</v>
      </c>
      <c r="H10" s="36" t="s">
        <v>69</v>
      </c>
      <c r="I10" s="40">
        <f>P11</f>
        <v>4.5999999999999996</v>
      </c>
      <c r="J10" s="41">
        <f>(I10*G10)+(P11*E10)</f>
        <v>5.52</v>
      </c>
      <c r="K10" s="42" t="s">
        <v>167</v>
      </c>
      <c r="L10" s="33"/>
      <c r="P10" s="25" t="s">
        <v>222</v>
      </c>
    </row>
    <row r="11" spans="2:16" ht="13.5" thickBot="1" x14ac:dyDescent="0.25">
      <c r="B11" s="35" t="s">
        <v>165</v>
      </c>
      <c r="C11" s="36" t="s">
        <v>118</v>
      </c>
      <c r="D11" s="45"/>
      <c r="E11" s="46">
        <v>0.2</v>
      </c>
      <c r="F11" s="46">
        <v>0.2</v>
      </c>
      <c r="G11" s="47"/>
      <c r="H11" s="44" t="s">
        <v>44</v>
      </c>
      <c r="I11" s="48">
        <f>P12</f>
        <v>11</v>
      </c>
      <c r="J11" s="41">
        <f>P12*E11</f>
        <v>2.2000000000000002</v>
      </c>
      <c r="K11" s="49" t="s">
        <v>166</v>
      </c>
      <c r="L11" s="33"/>
      <c r="N11" s="25" t="s">
        <v>87</v>
      </c>
      <c r="P11" s="34">
        <v>4.5999999999999996</v>
      </c>
    </row>
    <row r="12" spans="2:16" ht="13.5" thickBot="1" x14ac:dyDescent="0.25">
      <c r="B12" s="50" t="s">
        <v>14</v>
      </c>
      <c r="C12" s="51"/>
      <c r="D12" s="52"/>
      <c r="E12" s="53">
        <f>SUM(E7:E11)</f>
        <v>1.3</v>
      </c>
      <c r="F12" s="54">
        <f>SUM(F7:F11)</f>
        <v>1.3</v>
      </c>
      <c r="G12" s="55"/>
      <c r="H12" s="52"/>
      <c r="I12" s="56"/>
      <c r="J12" s="57">
        <f>SUM(J7:J11)</f>
        <v>40.620000000000005</v>
      </c>
      <c r="K12" s="58"/>
      <c r="L12" s="33"/>
      <c r="N12" s="25" t="s">
        <v>177</v>
      </c>
      <c r="P12" s="34">
        <v>11</v>
      </c>
    </row>
    <row r="13" spans="2:16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178</v>
      </c>
      <c r="P13" s="34">
        <v>7.5</v>
      </c>
    </row>
    <row r="14" spans="2:16" x14ac:dyDescent="0.2">
      <c r="B14" s="64" t="s">
        <v>16</v>
      </c>
      <c r="C14" s="65" t="s">
        <v>162</v>
      </c>
      <c r="D14" s="66">
        <v>1</v>
      </c>
      <c r="E14" s="67">
        <v>0.42</v>
      </c>
      <c r="F14" s="67">
        <v>0.42</v>
      </c>
      <c r="G14" s="68">
        <v>3</v>
      </c>
      <c r="H14" s="65" t="s">
        <v>69</v>
      </c>
      <c r="I14" s="69">
        <f>P11</f>
        <v>4.5999999999999996</v>
      </c>
      <c r="J14" s="41">
        <f>(P12*E14)+(G14*I14)</f>
        <v>18.419999999999998</v>
      </c>
      <c r="K14" s="70" t="s">
        <v>42</v>
      </c>
      <c r="L14" s="33"/>
      <c r="N14" s="25" t="s">
        <v>21</v>
      </c>
      <c r="P14" s="34">
        <v>35</v>
      </c>
    </row>
    <row r="15" spans="2:16" x14ac:dyDescent="0.2">
      <c r="B15" s="35" t="s">
        <v>16</v>
      </c>
      <c r="C15" s="36" t="s">
        <v>162</v>
      </c>
      <c r="D15" s="37">
        <v>1</v>
      </c>
      <c r="E15" s="38">
        <v>0.36</v>
      </c>
      <c r="F15" s="38"/>
      <c r="G15" s="39"/>
      <c r="H15" s="36" t="s">
        <v>44</v>
      </c>
      <c r="I15" s="40">
        <f>P12</f>
        <v>11</v>
      </c>
      <c r="J15" s="40">
        <f>D15*(I15*E15)</f>
        <v>3.96</v>
      </c>
      <c r="K15" s="42" t="s">
        <v>41</v>
      </c>
      <c r="L15" s="33"/>
      <c r="N15" s="25" t="s">
        <v>28</v>
      </c>
      <c r="P15" s="34">
        <v>210</v>
      </c>
    </row>
    <row r="16" spans="2:16" x14ac:dyDescent="0.2">
      <c r="B16" s="64" t="s">
        <v>98</v>
      </c>
      <c r="C16" s="65" t="s">
        <v>147</v>
      </c>
      <c r="D16" s="66">
        <v>1</v>
      </c>
      <c r="E16" s="67">
        <v>8</v>
      </c>
      <c r="F16" s="67"/>
      <c r="G16" s="68"/>
      <c r="H16" s="65" t="s">
        <v>44</v>
      </c>
      <c r="I16" s="69">
        <f>P11</f>
        <v>4.5999999999999996</v>
      </c>
      <c r="J16" s="41">
        <f>D16*(P12*E16)</f>
        <v>88</v>
      </c>
      <c r="K16" s="70" t="s">
        <v>161</v>
      </c>
      <c r="L16" s="33"/>
      <c r="N16" s="25" t="s">
        <v>79</v>
      </c>
      <c r="O16" s="71"/>
      <c r="P16" s="34">
        <v>1.7</v>
      </c>
    </row>
    <row r="17" spans="2:26" x14ac:dyDescent="0.2">
      <c r="B17" s="35" t="s">
        <v>17</v>
      </c>
      <c r="C17" s="36" t="s">
        <v>147</v>
      </c>
      <c r="D17" s="37"/>
      <c r="E17" s="38">
        <v>1.5</v>
      </c>
      <c r="F17" s="72"/>
      <c r="G17" s="39"/>
      <c r="H17" s="36" t="s">
        <v>44</v>
      </c>
      <c r="I17" s="40">
        <f>P12</f>
        <v>11</v>
      </c>
      <c r="J17" s="41">
        <f>(I17*E17)</f>
        <v>16.5</v>
      </c>
      <c r="K17" s="73" t="s">
        <v>163</v>
      </c>
      <c r="L17" s="33"/>
      <c r="N17" s="25" t="s">
        <v>63</v>
      </c>
      <c r="P17" s="34">
        <v>145</v>
      </c>
      <c r="Q17" s="74"/>
    </row>
    <row r="18" spans="2:26" ht="13.5" thickBot="1" x14ac:dyDescent="0.25">
      <c r="B18" s="35" t="s">
        <v>85</v>
      </c>
      <c r="C18" s="36" t="s">
        <v>168</v>
      </c>
      <c r="D18" s="37">
        <v>3</v>
      </c>
      <c r="E18" s="38">
        <v>2</v>
      </c>
      <c r="F18" s="72">
        <v>1.5</v>
      </c>
      <c r="G18" s="128">
        <v>3</v>
      </c>
      <c r="H18" s="36" t="s">
        <v>69</v>
      </c>
      <c r="I18" s="129">
        <f>P11</f>
        <v>4.5999999999999996</v>
      </c>
      <c r="J18" s="41">
        <f>D18*((I18*G18)+(E18*P12))</f>
        <v>107.39999999999999</v>
      </c>
      <c r="K18" s="42" t="s">
        <v>170</v>
      </c>
      <c r="N18" s="25" t="s">
        <v>65</v>
      </c>
      <c r="P18" s="25">
        <v>65</v>
      </c>
    </row>
    <row r="19" spans="2:26" ht="13.5" thickBot="1" x14ac:dyDescent="0.25">
      <c r="B19" s="50" t="s">
        <v>14</v>
      </c>
      <c r="C19" s="75"/>
      <c r="D19" s="76"/>
      <c r="E19" s="54">
        <f>SUM(E14:E18)</f>
        <v>12.28</v>
      </c>
      <c r="F19" s="54">
        <f>SUM(F14:F18)</f>
        <v>1.92</v>
      </c>
      <c r="G19" s="77"/>
      <c r="H19" s="51"/>
      <c r="I19" s="78"/>
      <c r="J19" s="57">
        <f>SUM(J14:J18)</f>
        <v>234.27999999999997</v>
      </c>
      <c r="K19" s="58"/>
      <c r="L19" s="33"/>
      <c r="N19" s="25" t="s">
        <v>95</v>
      </c>
      <c r="P19" s="34">
        <v>12</v>
      </c>
    </row>
    <row r="20" spans="2:26" x14ac:dyDescent="0.2">
      <c r="B20" s="3" t="s">
        <v>18</v>
      </c>
      <c r="C20" s="30"/>
      <c r="D20" s="31"/>
      <c r="E20" s="61"/>
      <c r="F20" s="61"/>
      <c r="G20" s="62"/>
      <c r="H20" s="59"/>
      <c r="I20" s="63"/>
      <c r="J20" s="63"/>
      <c r="K20" s="32"/>
      <c r="L20" s="33"/>
      <c r="N20" s="25" t="s">
        <v>96</v>
      </c>
      <c r="P20" s="34">
        <v>6</v>
      </c>
    </row>
    <row r="21" spans="2:26" x14ac:dyDescent="0.2">
      <c r="B21" s="64" t="s">
        <v>19</v>
      </c>
      <c r="C21" s="65" t="s">
        <v>59</v>
      </c>
      <c r="D21" s="66">
        <v>1</v>
      </c>
      <c r="E21" s="67">
        <v>2</v>
      </c>
      <c r="F21" s="67">
        <v>0.8</v>
      </c>
      <c r="G21" s="68"/>
      <c r="H21" s="65" t="s">
        <v>44</v>
      </c>
      <c r="I21" s="69">
        <f>P12</f>
        <v>11</v>
      </c>
      <c r="J21" s="41">
        <f>(I21*E21)+(P12*F21)</f>
        <v>30.8</v>
      </c>
      <c r="K21" s="70" t="s">
        <v>169</v>
      </c>
      <c r="L21" s="33"/>
      <c r="N21" s="25" t="s">
        <v>174</v>
      </c>
      <c r="O21" s="71">
        <v>3</v>
      </c>
      <c r="P21" s="142">
        <v>3.5</v>
      </c>
      <c r="Q21" s="71"/>
    </row>
    <row r="22" spans="2:26" x14ac:dyDescent="0.2">
      <c r="B22" s="64" t="s">
        <v>164</v>
      </c>
      <c r="C22" s="65" t="s">
        <v>59</v>
      </c>
      <c r="D22" s="79"/>
      <c r="E22" s="67">
        <v>1</v>
      </c>
      <c r="F22" s="67"/>
      <c r="G22" s="68"/>
      <c r="H22" s="65" t="s">
        <v>44</v>
      </c>
      <c r="I22" s="69">
        <f>P13</f>
        <v>7.5</v>
      </c>
      <c r="J22" s="40">
        <f>(I22*E22)</f>
        <v>7.5</v>
      </c>
      <c r="K22" s="70" t="s">
        <v>161</v>
      </c>
      <c r="L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ht="13.5" thickBot="1" x14ac:dyDescent="0.25">
      <c r="B23" s="43" t="s">
        <v>21</v>
      </c>
      <c r="C23" s="44" t="s">
        <v>59</v>
      </c>
      <c r="D23" s="80"/>
      <c r="E23" s="81">
        <v>0.05</v>
      </c>
      <c r="F23" s="81">
        <v>0.05</v>
      </c>
      <c r="G23" s="47"/>
      <c r="H23" s="44" t="s">
        <v>45</v>
      </c>
      <c r="I23" s="82">
        <f>P14/2000</f>
        <v>1.7500000000000002E-2</v>
      </c>
      <c r="J23" s="40">
        <f>I23*E43</f>
        <v>2.6250000000000004</v>
      </c>
      <c r="K23" s="83" t="s">
        <v>47</v>
      </c>
      <c r="L23" s="33"/>
      <c r="O23" s="71"/>
      <c r="Q23" s="71"/>
    </row>
    <row r="24" spans="2:26" ht="13.5" thickBot="1" x14ac:dyDescent="0.25">
      <c r="B24" s="22" t="s">
        <v>14</v>
      </c>
      <c r="C24" s="75"/>
      <c r="D24" s="86"/>
      <c r="E24" s="87">
        <f>SUM(E21:E23)</f>
        <v>3.05</v>
      </c>
      <c r="F24" s="87">
        <f>SUM(F21:F23)</f>
        <v>0.85000000000000009</v>
      </c>
      <c r="G24" s="75"/>
      <c r="H24" s="88"/>
      <c r="I24" s="89"/>
      <c r="J24" s="57">
        <f>SUM(J21:J23)</f>
        <v>40.924999999999997</v>
      </c>
      <c r="K24" s="90"/>
      <c r="L24" s="33"/>
      <c r="O24" s="92"/>
      <c r="Q24" s="71"/>
    </row>
    <row r="25" spans="2:26" x14ac:dyDescent="0.2">
      <c r="B25" s="3" t="s">
        <v>22</v>
      </c>
      <c r="C25" s="30"/>
      <c r="D25" s="31"/>
      <c r="E25" s="30"/>
      <c r="F25" s="30"/>
      <c r="G25" s="30"/>
      <c r="H25" s="59"/>
      <c r="I25" s="63"/>
      <c r="J25" s="63"/>
      <c r="K25" s="32"/>
      <c r="L25" s="33"/>
    </row>
    <row r="26" spans="2:26" x14ac:dyDescent="0.2">
      <c r="B26" s="64" t="s">
        <v>23</v>
      </c>
      <c r="C26" s="94"/>
      <c r="D26" s="79"/>
      <c r="E26" s="94"/>
      <c r="F26" s="94"/>
      <c r="G26" s="68">
        <f>P20</f>
        <v>6</v>
      </c>
      <c r="H26" s="65" t="s">
        <v>45</v>
      </c>
      <c r="I26" s="69">
        <f>P19</f>
        <v>12</v>
      </c>
      <c r="J26" s="41">
        <f>(I26*G26)</f>
        <v>72</v>
      </c>
      <c r="K26" s="70" t="s">
        <v>77</v>
      </c>
      <c r="L26" s="33"/>
    </row>
    <row r="27" spans="2:26" x14ac:dyDescent="0.2">
      <c r="B27" s="64" t="s">
        <v>74</v>
      </c>
      <c r="C27" s="94"/>
      <c r="D27" s="79"/>
      <c r="E27" s="94"/>
      <c r="F27" s="94"/>
      <c r="G27" s="68">
        <f>O28</f>
        <v>20</v>
      </c>
      <c r="H27" s="65" t="s">
        <v>45</v>
      </c>
      <c r="I27" s="69">
        <f>Q28</f>
        <v>1.45</v>
      </c>
      <c r="J27" s="41">
        <f>(I27*G27)</f>
        <v>29</v>
      </c>
      <c r="K27" s="70" t="s">
        <v>48</v>
      </c>
      <c r="L27" s="33"/>
      <c r="O27" s="71" t="s">
        <v>84</v>
      </c>
      <c r="P27" s="71" t="s">
        <v>8</v>
      </c>
      <c r="Q27" s="71" t="s">
        <v>64</v>
      </c>
    </row>
    <row r="28" spans="2:26" x14ac:dyDescent="0.2">
      <c r="B28" s="64" t="s">
        <v>75</v>
      </c>
      <c r="C28" s="94"/>
      <c r="D28" s="79"/>
      <c r="E28" s="94"/>
      <c r="F28" s="94"/>
      <c r="G28" s="68">
        <f>O29</f>
        <v>15</v>
      </c>
      <c r="H28" s="65" t="s">
        <v>45</v>
      </c>
      <c r="I28" s="69">
        <f>Q29</f>
        <v>1.05</v>
      </c>
      <c r="J28" s="41">
        <f>(I28*G28)</f>
        <v>15.75</v>
      </c>
      <c r="K28" s="70" t="s">
        <v>76</v>
      </c>
      <c r="L28" s="33"/>
      <c r="N28" s="33" t="s">
        <v>48</v>
      </c>
      <c r="O28" s="71">
        <v>20</v>
      </c>
      <c r="P28" s="34">
        <f>(Q28*O28)</f>
        <v>29</v>
      </c>
      <c r="Q28" s="74">
        <v>1.45</v>
      </c>
    </row>
    <row r="29" spans="2:26" x14ac:dyDescent="0.2">
      <c r="B29" s="64" t="s">
        <v>79</v>
      </c>
      <c r="C29" s="94"/>
      <c r="D29" s="66">
        <v>1</v>
      </c>
      <c r="E29" s="94"/>
      <c r="F29" s="94"/>
      <c r="G29" s="68"/>
      <c r="H29" s="65" t="s">
        <v>69</v>
      </c>
      <c r="I29" s="69">
        <f>P16</f>
        <v>1.7</v>
      </c>
      <c r="J29" s="41">
        <f>P16</f>
        <v>1.7</v>
      </c>
      <c r="K29" s="70" t="s">
        <v>80</v>
      </c>
      <c r="L29" s="33"/>
      <c r="N29" s="178" t="s">
        <v>78</v>
      </c>
      <c r="O29" s="71">
        <v>15</v>
      </c>
      <c r="P29" s="34">
        <f>(Q29*O29)</f>
        <v>15.75</v>
      </c>
      <c r="Q29" s="74">
        <v>1.05</v>
      </c>
    </row>
    <row r="30" spans="2:26" x14ac:dyDescent="0.2">
      <c r="B30" s="35" t="s">
        <v>24</v>
      </c>
      <c r="C30" s="97"/>
      <c r="D30" s="96"/>
      <c r="E30" s="97"/>
      <c r="F30" s="97"/>
      <c r="G30" s="97">
        <v>0.1</v>
      </c>
      <c r="H30" s="36" t="s">
        <v>45</v>
      </c>
      <c r="I30" s="40">
        <f>P17</f>
        <v>145</v>
      </c>
      <c r="J30" s="41">
        <f>(I30*G30)</f>
        <v>14.5</v>
      </c>
      <c r="K30" s="42" t="s">
        <v>171</v>
      </c>
      <c r="L30" s="33"/>
      <c r="Q30" s="74"/>
    </row>
    <row r="31" spans="2:26" x14ac:dyDescent="0.2">
      <c r="B31" s="35" t="s">
        <v>24</v>
      </c>
      <c r="C31" s="97"/>
      <c r="D31" s="96"/>
      <c r="E31" s="97"/>
      <c r="F31" s="97"/>
      <c r="G31" s="97">
        <f>O21</f>
        <v>3</v>
      </c>
      <c r="H31" s="36" t="s">
        <v>173</v>
      </c>
      <c r="I31" s="40">
        <f>P21</f>
        <v>3.5</v>
      </c>
      <c r="J31" s="41">
        <f>(I31*G31)</f>
        <v>10.5</v>
      </c>
      <c r="K31" s="42" t="s">
        <v>172</v>
      </c>
      <c r="L31" s="33"/>
      <c r="Q31" s="74"/>
    </row>
    <row r="32" spans="2:26" ht="13.5" thickBot="1" x14ac:dyDescent="0.25">
      <c r="B32" s="98" t="s">
        <v>57</v>
      </c>
      <c r="C32" s="101"/>
      <c r="D32" s="158">
        <v>1</v>
      </c>
      <c r="E32" s="101"/>
      <c r="F32" s="101"/>
      <c r="G32" s="101"/>
      <c r="H32" s="102" t="s">
        <v>69</v>
      </c>
      <c r="I32" s="48">
        <f>P18</f>
        <v>65</v>
      </c>
      <c r="J32" s="82">
        <f>P18</f>
        <v>65</v>
      </c>
      <c r="K32" s="49" t="s">
        <v>88</v>
      </c>
      <c r="L32" s="33"/>
    </row>
    <row r="33" spans="2:12" ht="13.5" thickBot="1" x14ac:dyDescent="0.25">
      <c r="B33" s="50" t="s">
        <v>14</v>
      </c>
      <c r="C33" s="103"/>
      <c r="D33" s="76"/>
      <c r="E33" s="75"/>
      <c r="F33" s="75"/>
      <c r="G33" s="75"/>
      <c r="H33" s="75"/>
      <c r="I33" s="75"/>
      <c r="J33" s="57">
        <f>SUM(J26:J32)</f>
        <v>208.45</v>
      </c>
      <c r="K33" s="58"/>
      <c r="L33" s="33"/>
    </row>
    <row r="34" spans="2:12" ht="13.5" thickBot="1" x14ac:dyDescent="0.25">
      <c r="B34" s="50" t="s">
        <v>25</v>
      </c>
      <c r="C34" s="104"/>
      <c r="D34" s="76"/>
      <c r="E34" s="75"/>
      <c r="F34" s="75"/>
      <c r="G34" s="75"/>
      <c r="H34" s="75"/>
      <c r="I34" s="75"/>
      <c r="J34" s="57">
        <f>(J12+J19+J24+J33)</f>
        <v>524.27499999999998</v>
      </c>
      <c r="K34" s="58"/>
      <c r="L34" s="33"/>
    </row>
    <row r="35" spans="2:12" x14ac:dyDescent="0.2">
      <c r="B35" s="3" t="s">
        <v>26</v>
      </c>
      <c r="C35" s="91"/>
      <c r="D35" s="31"/>
      <c r="E35" s="30"/>
      <c r="F35" s="30"/>
      <c r="G35" s="30"/>
      <c r="H35" s="30"/>
      <c r="I35" s="30"/>
      <c r="J35" s="63"/>
      <c r="K35" s="32"/>
      <c r="L35" s="33"/>
    </row>
    <row r="36" spans="2:12" x14ac:dyDescent="0.2">
      <c r="B36" s="35" t="s">
        <v>27</v>
      </c>
      <c r="C36" s="95"/>
      <c r="D36" s="96"/>
      <c r="E36" s="97"/>
      <c r="F36" s="97"/>
      <c r="G36" s="97"/>
      <c r="H36" s="97"/>
      <c r="I36" s="97"/>
      <c r="J36" s="40">
        <f>J34*0.1</f>
        <v>52.427500000000002</v>
      </c>
      <c r="K36" s="42"/>
      <c r="L36" s="33"/>
    </row>
    <row r="37" spans="2:12" x14ac:dyDescent="0.2">
      <c r="B37" s="35" t="s">
        <v>28</v>
      </c>
      <c r="C37" s="95"/>
      <c r="D37" s="96"/>
      <c r="E37" s="97"/>
      <c r="F37" s="97"/>
      <c r="G37" s="97"/>
      <c r="H37" s="97"/>
      <c r="I37" s="97"/>
      <c r="J37" s="40">
        <f>P15</f>
        <v>210</v>
      </c>
      <c r="K37" s="42"/>
      <c r="L37" s="33"/>
    </row>
    <row r="38" spans="2:12" x14ac:dyDescent="0.2">
      <c r="B38" s="35" t="s">
        <v>29</v>
      </c>
      <c r="C38" s="95"/>
      <c r="D38" s="96"/>
      <c r="E38" s="97"/>
      <c r="F38" s="97"/>
      <c r="G38" s="97"/>
      <c r="H38" s="97"/>
      <c r="I38" s="97"/>
      <c r="J38" s="40">
        <f>((J34+J36+J37)*0.07)</f>
        <v>55.069175000000001</v>
      </c>
      <c r="K38" s="42"/>
      <c r="L38" s="33"/>
    </row>
    <row r="39" spans="2:12" x14ac:dyDescent="0.2">
      <c r="B39" s="105" t="s">
        <v>30</v>
      </c>
      <c r="C39" s="93"/>
      <c r="D39" s="106"/>
      <c r="E39" s="107"/>
      <c r="F39" s="107"/>
      <c r="G39" s="107"/>
      <c r="H39" s="107"/>
      <c r="I39" s="107"/>
      <c r="J39" s="108">
        <f>((J34+J36+J37)*0.03)</f>
        <v>23.601074999999998</v>
      </c>
      <c r="K39" s="83"/>
      <c r="L39" s="33"/>
    </row>
    <row r="40" spans="2:12" ht="13.5" thickBot="1" x14ac:dyDescent="0.25">
      <c r="B40" s="109" t="s">
        <v>14</v>
      </c>
      <c r="C40" s="103"/>
      <c r="D40" s="110"/>
      <c r="E40" s="111"/>
      <c r="F40" s="111"/>
      <c r="G40" s="111"/>
      <c r="H40" s="111"/>
      <c r="I40" s="111"/>
      <c r="J40" s="112">
        <f>SUM(J36:J39)</f>
        <v>341.09774999999996</v>
      </c>
      <c r="K40" s="113"/>
      <c r="L40" s="33"/>
    </row>
    <row r="41" spans="2:12" ht="13.5" thickBot="1" x14ac:dyDescent="0.25">
      <c r="B41" s="2" t="s">
        <v>31</v>
      </c>
      <c r="C41" s="104"/>
      <c r="D41" s="76"/>
      <c r="E41" s="54">
        <v>1.32</v>
      </c>
      <c r="F41" s="54">
        <v>0.81</v>
      </c>
      <c r="G41" s="75"/>
      <c r="H41" s="75"/>
      <c r="I41" s="75"/>
      <c r="J41" s="57">
        <f>(J34+J40)</f>
        <v>865.37275</v>
      </c>
      <c r="K41" s="58"/>
      <c r="L41" s="33"/>
    </row>
    <row r="42" spans="2:12" ht="13.5" thickBot="1" x14ac:dyDescent="0.25">
      <c r="B42" s="33"/>
      <c r="C42" s="33"/>
      <c r="D42" s="33"/>
      <c r="E42" s="114"/>
      <c r="F42" s="114"/>
      <c r="G42" s="33"/>
      <c r="H42" s="33"/>
      <c r="I42" s="33"/>
      <c r="J42" s="33"/>
      <c r="K42" s="33"/>
      <c r="L42" s="33"/>
    </row>
    <row r="43" spans="2:12" x14ac:dyDescent="0.2">
      <c r="B43" s="115" t="s">
        <v>32</v>
      </c>
      <c r="C43" s="116" t="s">
        <v>67</v>
      </c>
      <c r="D43" s="60"/>
      <c r="E43" s="117">
        <v>150</v>
      </c>
      <c r="F43" s="60"/>
      <c r="G43" s="118"/>
      <c r="H43" s="118"/>
      <c r="I43" s="118"/>
      <c r="J43" s="118"/>
      <c r="K43" s="32"/>
      <c r="L43" s="33"/>
    </row>
    <row r="44" spans="2:12" x14ac:dyDescent="0.2">
      <c r="B44" s="35" t="s">
        <v>33</v>
      </c>
      <c r="C44" s="119" t="s">
        <v>68</v>
      </c>
      <c r="D44" s="119"/>
      <c r="E44" s="120">
        <v>0</v>
      </c>
      <c r="F44" s="121"/>
      <c r="G44" s="33"/>
      <c r="H44" s="33"/>
      <c r="I44" s="33"/>
      <c r="J44" s="33"/>
      <c r="K44" s="83"/>
      <c r="L44" s="33"/>
    </row>
    <row r="45" spans="2:12" x14ac:dyDescent="0.2">
      <c r="B45" s="35" t="s">
        <v>34</v>
      </c>
      <c r="C45" s="119" t="s">
        <v>68</v>
      </c>
      <c r="D45" s="119"/>
      <c r="E45" s="120">
        <f>(J41-E44)</f>
        <v>865.37275</v>
      </c>
      <c r="F45" s="121"/>
      <c r="G45" s="122"/>
      <c r="H45" s="122"/>
      <c r="I45" s="122"/>
      <c r="J45" s="122"/>
      <c r="K45" s="42"/>
      <c r="L45" s="33"/>
    </row>
    <row r="46" spans="2:12" x14ac:dyDescent="0.2">
      <c r="B46" s="35" t="s">
        <v>34</v>
      </c>
      <c r="C46" s="119" t="s">
        <v>35</v>
      </c>
      <c r="D46" s="119"/>
      <c r="E46" s="120">
        <f>(E45/E43)</f>
        <v>5.7691516666666667</v>
      </c>
      <c r="F46" s="121"/>
      <c r="G46" s="33"/>
      <c r="H46" s="33"/>
      <c r="I46" s="33"/>
      <c r="J46" s="33"/>
      <c r="K46" s="83"/>
      <c r="L46" s="33"/>
    </row>
    <row r="47" spans="2:12" ht="13.5" thickBot="1" x14ac:dyDescent="0.25">
      <c r="B47" s="109" t="s">
        <v>81</v>
      </c>
      <c r="C47" s="123" t="s">
        <v>35</v>
      </c>
      <c r="D47" s="123"/>
      <c r="E47" s="124">
        <f>E46*1.3</f>
        <v>7.4998971666666669</v>
      </c>
      <c r="F47" s="125"/>
      <c r="G47" s="99"/>
      <c r="H47" s="99"/>
      <c r="I47" s="99"/>
      <c r="J47" s="99"/>
      <c r="K47" s="126"/>
      <c r="L47" s="33"/>
    </row>
    <row r="48" spans="2:12" x14ac:dyDescent="0.2">
      <c r="B48" s="33"/>
      <c r="C48" s="24"/>
      <c r="D48" s="24"/>
      <c r="E48" s="127"/>
      <c r="F48" s="127"/>
      <c r="G48" s="33"/>
      <c r="H48" s="33"/>
      <c r="I48" s="33"/>
      <c r="J48" s="33"/>
      <c r="K48" s="33"/>
      <c r="L48" s="33"/>
    </row>
    <row r="49" spans="2:12" x14ac:dyDescent="0.2">
      <c r="B49" s="33"/>
      <c r="C49" s="24"/>
      <c r="D49" s="24"/>
      <c r="E49" s="127"/>
      <c r="F49" s="127"/>
      <c r="G49" s="33"/>
      <c r="H49" s="33"/>
      <c r="I49" s="33"/>
      <c r="J49" s="33"/>
      <c r="K49" s="33"/>
      <c r="L49" s="33"/>
    </row>
    <row r="50" spans="2:12" x14ac:dyDescent="0.2">
      <c r="B50" s="25" t="s">
        <v>82</v>
      </c>
      <c r="L50" s="33"/>
    </row>
    <row r="51" spans="2:12" x14ac:dyDescent="0.2">
      <c r="B51" s="25" t="s">
        <v>217</v>
      </c>
    </row>
    <row r="72" spans="9:10" x14ac:dyDescent="0.2">
      <c r="I72" s="343"/>
      <c r="J72" s="343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</sheetData>
  <customSheetViews>
    <customSheetView guid="{8B6B86C0-2F1B-11D5-9D92-00606708EF55}" scale="75" showRuler="0" topLeftCell="A16">
      <selection activeCell="L39" sqref="L39"/>
      <pageMargins left="0.74803149606299213" right="0.74803149606299213" top="0.39370078740157483" bottom="0.39370078740157483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7:J77"/>
    <mergeCell ref="B1:J1"/>
    <mergeCell ref="I78:J78"/>
    <mergeCell ref="I72:J72"/>
    <mergeCell ref="I73:J73"/>
    <mergeCell ref="I74:J74"/>
    <mergeCell ref="C3:D5"/>
    <mergeCell ref="E3:F3"/>
    <mergeCell ref="E4:F4"/>
    <mergeCell ref="I75:J75"/>
    <mergeCell ref="I76:J76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78" orientation="landscape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7"/>
  <sheetViews>
    <sheetView topLeftCell="A16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9.85546875" style="25" customWidth="1"/>
    <col min="14" max="17" width="9.85546875" style="25" hidden="1" customWidth="1"/>
    <col min="18" max="21" width="9.85546875" style="25" customWidth="1"/>
    <col min="22" max="16384" width="9.140625" style="25"/>
  </cols>
  <sheetData>
    <row r="1" spans="2:16" s="19" customFormat="1" x14ac:dyDescent="0.2">
      <c r="B1" s="333" t="s">
        <v>242</v>
      </c>
      <c r="C1" s="333"/>
      <c r="D1" s="333"/>
      <c r="E1" s="333"/>
      <c r="F1" s="333"/>
      <c r="G1" s="333"/>
      <c r="H1" s="333"/>
      <c r="I1" s="333"/>
      <c r="J1" s="333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83</v>
      </c>
      <c r="D7" s="37">
        <v>1</v>
      </c>
      <c r="E7" s="38">
        <v>0.39</v>
      </c>
      <c r="F7" s="38">
        <v>0.39</v>
      </c>
      <c r="G7" s="39">
        <v>1.7</v>
      </c>
      <c r="H7" s="36" t="s">
        <v>69</v>
      </c>
      <c r="I7" s="40">
        <f>P11</f>
        <v>4.5999999999999996</v>
      </c>
      <c r="J7" s="41">
        <f>(G7*I7)+(E7*P12)</f>
        <v>12.11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83</v>
      </c>
      <c r="D8" s="37">
        <v>1</v>
      </c>
      <c r="E8" s="38">
        <v>0.3</v>
      </c>
      <c r="F8" s="38">
        <v>0.3</v>
      </c>
      <c r="G8" s="39">
        <v>1</v>
      </c>
      <c r="H8" s="36" t="s">
        <v>69</v>
      </c>
      <c r="I8" s="40">
        <f>P11</f>
        <v>4.5999999999999996</v>
      </c>
      <c r="J8" s="41">
        <f>(I8*G8)+(P12*E8)</f>
        <v>7.8999999999999995</v>
      </c>
      <c r="K8" s="42" t="s">
        <v>39</v>
      </c>
      <c r="L8" s="33"/>
      <c r="P8" s="34"/>
    </row>
    <row r="9" spans="2:16" x14ac:dyDescent="0.2">
      <c r="B9" s="35" t="s">
        <v>12</v>
      </c>
      <c r="C9" s="36" t="s">
        <v>83</v>
      </c>
      <c r="D9" s="37">
        <v>1</v>
      </c>
      <c r="E9" s="38">
        <v>0.3</v>
      </c>
      <c r="F9" s="38">
        <v>0.3</v>
      </c>
      <c r="G9" s="39">
        <v>0.7</v>
      </c>
      <c r="H9" s="36" t="s">
        <v>69</v>
      </c>
      <c r="I9" s="40">
        <f>P11</f>
        <v>4.5999999999999996</v>
      </c>
      <c r="J9" s="41">
        <f>(I9*G9)+(P12*E9)</f>
        <v>6.52</v>
      </c>
      <c r="K9" s="42" t="s">
        <v>38</v>
      </c>
      <c r="L9" s="33"/>
      <c r="P9" s="34"/>
    </row>
    <row r="10" spans="2:16" x14ac:dyDescent="0.2">
      <c r="B10" s="35" t="s">
        <v>13</v>
      </c>
      <c r="C10" s="36" t="s">
        <v>83</v>
      </c>
      <c r="D10" s="37">
        <v>1</v>
      </c>
      <c r="E10" s="38">
        <v>0.2</v>
      </c>
      <c r="F10" s="38">
        <v>0.2</v>
      </c>
      <c r="G10" s="39">
        <v>0.7</v>
      </c>
      <c r="H10" s="36" t="s">
        <v>69</v>
      </c>
      <c r="I10" s="40">
        <f>P11</f>
        <v>4.5999999999999996</v>
      </c>
      <c r="J10" s="41">
        <f>(I10*G10)+(P11*E10)</f>
        <v>4.1399999999999997</v>
      </c>
      <c r="K10" s="42" t="s">
        <v>167</v>
      </c>
      <c r="L10" s="33"/>
      <c r="P10" s="25" t="s">
        <v>221</v>
      </c>
    </row>
    <row r="11" spans="2:16" ht="13.5" thickBot="1" x14ac:dyDescent="0.25">
      <c r="B11" s="43" t="s">
        <v>13</v>
      </c>
      <c r="C11" s="44" t="s">
        <v>83</v>
      </c>
      <c r="D11" s="45"/>
      <c r="E11" s="46">
        <v>0.2</v>
      </c>
      <c r="F11" s="46"/>
      <c r="G11" s="47"/>
      <c r="H11" s="44" t="s">
        <v>44</v>
      </c>
      <c r="I11" s="48">
        <f>P12</f>
        <v>11</v>
      </c>
      <c r="J11" s="41">
        <f>P12*E11</f>
        <v>2.2000000000000002</v>
      </c>
      <c r="K11" s="49" t="s">
        <v>166</v>
      </c>
      <c r="L11" s="33"/>
      <c r="N11" s="25" t="s">
        <v>87</v>
      </c>
      <c r="P11" s="176">
        <v>4.5999999999999996</v>
      </c>
    </row>
    <row r="12" spans="2:16" ht="13.5" thickBot="1" x14ac:dyDescent="0.25">
      <c r="B12" s="50" t="s">
        <v>14</v>
      </c>
      <c r="C12" s="51"/>
      <c r="D12" s="52"/>
      <c r="E12" s="53">
        <f>SUM(E7:E11)</f>
        <v>1.39</v>
      </c>
      <c r="F12" s="54">
        <f>SUM(F7:F11)</f>
        <v>1.19</v>
      </c>
      <c r="G12" s="55"/>
      <c r="H12" s="52"/>
      <c r="I12" s="56"/>
      <c r="J12" s="57">
        <f>SUM(J7:J11)</f>
        <v>32.869999999999997</v>
      </c>
      <c r="K12" s="58"/>
      <c r="L12" s="33"/>
      <c r="N12" s="25" t="s">
        <v>177</v>
      </c>
      <c r="P12" s="34">
        <v>11</v>
      </c>
    </row>
    <row r="13" spans="2:16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178</v>
      </c>
      <c r="P13" s="34">
        <v>7.5</v>
      </c>
    </row>
    <row r="14" spans="2:16" x14ac:dyDescent="0.2">
      <c r="B14" s="64" t="s">
        <v>16</v>
      </c>
      <c r="C14" s="65" t="s">
        <v>58</v>
      </c>
      <c r="D14" s="66">
        <v>1</v>
      </c>
      <c r="E14" s="67">
        <v>0.2</v>
      </c>
      <c r="F14" s="67">
        <v>0.2</v>
      </c>
      <c r="G14" s="68">
        <v>1.5</v>
      </c>
      <c r="H14" s="65" t="s">
        <v>69</v>
      </c>
      <c r="I14" s="69">
        <f>P11</f>
        <v>4.5999999999999996</v>
      </c>
      <c r="J14" s="41">
        <f>(P12*E14)+(G14*I14)</f>
        <v>9.1</v>
      </c>
      <c r="K14" s="70" t="s">
        <v>42</v>
      </c>
      <c r="L14" s="33"/>
      <c r="N14" s="25" t="s">
        <v>62</v>
      </c>
      <c r="P14" s="34">
        <v>0</v>
      </c>
    </row>
    <row r="15" spans="2:16" x14ac:dyDescent="0.2">
      <c r="B15" s="35" t="s">
        <v>179</v>
      </c>
      <c r="C15" s="36" t="s">
        <v>58</v>
      </c>
      <c r="D15" s="37">
        <v>1</v>
      </c>
      <c r="E15" s="38">
        <v>10</v>
      </c>
      <c r="F15" s="38"/>
      <c r="G15" s="39"/>
      <c r="H15" s="36" t="s">
        <v>44</v>
      </c>
      <c r="I15" s="40">
        <f>P13</f>
        <v>7.5</v>
      </c>
      <c r="J15" s="40">
        <f>(I15*E15)</f>
        <v>75</v>
      </c>
      <c r="K15" s="42" t="s">
        <v>104</v>
      </c>
      <c r="L15" s="33"/>
      <c r="N15" s="25" t="s">
        <v>21</v>
      </c>
      <c r="P15" s="34">
        <v>30</v>
      </c>
    </row>
    <row r="16" spans="2:16" x14ac:dyDescent="0.2">
      <c r="B16" s="35" t="s">
        <v>181</v>
      </c>
      <c r="C16" s="36" t="s">
        <v>58</v>
      </c>
      <c r="D16" s="37">
        <v>1</v>
      </c>
      <c r="E16" s="38">
        <v>10</v>
      </c>
      <c r="F16" s="38"/>
      <c r="G16" s="39"/>
      <c r="H16" s="36" t="s">
        <v>44</v>
      </c>
      <c r="I16" s="40">
        <f>P13</f>
        <v>7.5</v>
      </c>
      <c r="J16" s="40">
        <f>(I16*E16)</f>
        <v>75</v>
      </c>
      <c r="K16" s="42" t="s">
        <v>104</v>
      </c>
      <c r="L16" s="33"/>
      <c r="N16" s="25" t="s">
        <v>28</v>
      </c>
      <c r="P16" s="34">
        <v>45</v>
      </c>
    </row>
    <row r="17" spans="2:26" ht="13.5" thickBot="1" x14ac:dyDescent="0.25">
      <c r="B17" s="64" t="s">
        <v>17</v>
      </c>
      <c r="C17" s="65" t="s">
        <v>160</v>
      </c>
      <c r="D17" s="66">
        <v>1</v>
      </c>
      <c r="E17" s="67">
        <v>0.09</v>
      </c>
      <c r="F17" s="67">
        <v>0.09</v>
      </c>
      <c r="G17" s="68">
        <v>0.5</v>
      </c>
      <c r="H17" s="65" t="s">
        <v>69</v>
      </c>
      <c r="I17" s="69">
        <f>P12</f>
        <v>11</v>
      </c>
      <c r="J17" s="41">
        <f>(P13*E17)+(G17*I17)</f>
        <v>6.1749999999999998</v>
      </c>
      <c r="K17" s="70" t="s">
        <v>43</v>
      </c>
      <c r="L17" s="33"/>
      <c r="N17" s="25" t="s">
        <v>79</v>
      </c>
      <c r="O17" s="71"/>
      <c r="P17" s="34">
        <v>1.5</v>
      </c>
      <c r="Q17" s="74"/>
    </row>
    <row r="18" spans="2:26" ht="13.5" thickBot="1" x14ac:dyDescent="0.25">
      <c r="B18" s="50" t="s">
        <v>14</v>
      </c>
      <c r="C18" s="75"/>
      <c r="D18" s="76"/>
      <c r="E18" s="54">
        <f>SUM(E14:E17)</f>
        <v>20.29</v>
      </c>
      <c r="F18" s="54">
        <f>SUM(F14:F17)</f>
        <v>0.29000000000000004</v>
      </c>
      <c r="G18" s="77"/>
      <c r="H18" s="51"/>
      <c r="I18" s="78"/>
      <c r="J18" s="57">
        <f>SUM(J14:J17)</f>
        <v>165.27500000000001</v>
      </c>
      <c r="K18" s="58"/>
      <c r="N18" s="25" t="s">
        <v>63</v>
      </c>
      <c r="P18" s="34">
        <v>0</v>
      </c>
    </row>
    <row r="19" spans="2:26" x14ac:dyDescent="0.2">
      <c r="B19" s="3" t="s">
        <v>18</v>
      </c>
      <c r="C19" s="30"/>
      <c r="D19" s="31"/>
      <c r="E19" s="61"/>
      <c r="F19" s="61"/>
      <c r="G19" s="62"/>
      <c r="H19" s="59"/>
      <c r="I19" s="63"/>
      <c r="J19" s="63"/>
      <c r="K19" s="32"/>
      <c r="L19" s="33"/>
      <c r="N19" s="25" t="s">
        <v>65</v>
      </c>
      <c r="P19" s="25">
        <v>0</v>
      </c>
    </row>
    <row r="20" spans="2:26" x14ac:dyDescent="0.2">
      <c r="B20" s="64" t="s">
        <v>19</v>
      </c>
      <c r="C20" s="65" t="s">
        <v>182</v>
      </c>
      <c r="D20" s="66">
        <v>1</v>
      </c>
      <c r="E20" s="67">
        <v>18.45</v>
      </c>
      <c r="F20" s="67">
        <v>0.12</v>
      </c>
      <c r="G20" s="68"/>
      <c r="H20" s="65" t="s">
        <v>69</v>
      </c>
      <c r="I20" s="69">
        <f>P13</f>
        <v>7.5</v>
      </c>
      <c r="J20" s="41">
        <f>(I20*E20)</f>
        <v>138.375</v>
      </c>
      <c r="K20" s="70" t="s">
        <v>161</v>
      </c>
      <c r="L20" s="33"/>
      <c r="N20" s="25" t="s">
        <v>95</v>
      </c>
      <c r="P20" s="34">
        <v>8.5</v>
      </c>
    </row>
    <row r="21" spans="2:26" x14ac:dyDescent="0.2">
      <c r="B21" s="64" t="s">
        <v>183</v>
      </c>
      <c r="C21" s="65" t="s">
        <v>182</v>
      </c>
      <c r="D21" s="66"/>
      <c r="E21" s="67">
        <v>0.6</v>
      </c>
      <c r="F21" s="67"/>
      <c r="G21" s="68"/>
      <c r="H21" s="65" t="s">
        <v>44</v>
      </c>
      <c r="I21" s="69">
        <f>P12</f>
        <v>11</v>
      </c>
      <c r="J21" s="40">
        <f>(I21*E21)</f>
        <v>6.6</v>
      </c>
      <c r="K21" s="70" t="s">
        <v>116</v>
      </c>
      <c r="L21" s="33"/>
      <c r="N21" s="25" t="s">
        <v>96</v>
      </c>
      <c r="P21" s="34">
        <v>0.5</v>
      </c>
      <c r="Q21" s="71"/>
    </row>
    <row r="22" spans="2:26" ht="13.5" thickBot="1" x14ac:dyDescent="0.25">
      <c r="B22" s="43" t="s">
        <v>21</v>
      </c>
      <c r="C22" s="44" t="s">
        <v>182</v>
      </c>
      <c r="D22" s="45"/>
      <c r="E22" s="81">
        <v>0.5</v>
      </c>
      <c r="F22" s="81">
        <v>0.5</v>
      </c>
      <c r="G22" s="47"/>
      <c r="H22" s="44" t="s">
        <v>45</v>
      </c>
      <c r="I22" s="82">
        <f>P15/2000</f>
        <v>1.4999999999999999E-2</v>
      </c>
      <c r="J22" s="40">
        <f>I22*E40</f>
        <v>0.89999999999999991</v>
      </c>
      <c r="K22" s="83" t="s">
        <v>47</v>
      </c>
      <c r="L22" s="33"/>
      <c r="O22" s="71"/>
      <c r="P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ht="13.5" thickBot="1" x14ac:dyDescent="0.25">
      <c r="B23" s="22" t="s">
        <v>14</v>
      </c>
      <c r="C23" s="75"/>
      <c r="D23" s="86"/>
      <c r="E23" s="87">
        <f>SUM(E20:E22)</f>
        <v>19.55</v>
      </c>
      <c r="F23" s="87">
        <f>SUM(F20:F22)</f>
        <v>0.62</v>
      </c>
      <c r="G23" s="75"/>
      <c r="H23" s="88"/>
      <c r="I23" s="89"/>
      <c r="J23" s="57">
        <f>SUM(J20:J22)</f>
        <v>145.875</v>
      </c>
      <c r="K23" s="90"/>
      <c r="L23" s="33"/>
      <c r="O23" s="71"/>
      <c r="Q23" s="71"/>
    </row>
    <row r="24" spans="2:26" x14ac:dyDescent="0.2">
      <c r="B24" s="3" t="s">
        <v>22</v>
      </c>
      <c r="C24" s="91"/>
      <c r="D24" s="31"/>
      <c r="E24" s="30"/>
      <c r="F24" s="30"/>
      <c r="G24" s="30"/>
      <c r="H24" s="59"/>
      <c r="I24" s="63"/>
      <c r="J24" s="63"/>
      <c r="K24" s="32"/>
      <c r="L24" s="33"/>
      <c r="O24" s="92"/>
      <c r="Q24" s="71"/>
    </row>
    <row r="25" spans="2:26" x14ac:dyDescent="0.2">
      <c r="B25" s="64" t="s">
        <v>23</v>
      </c>
      <c r="C25" s="93"/>
      <c r="D25" s="79"/>
      <c r="E25" s="94"/>
      <c r="F25" s="94"/>
      <c r="G25" s="68">
        <f>P21</f>
        <v>0.5</v>
      </c>
      <c r="H25" s="65" t="s">
        <v>45</v>
      </c>
      <c r="I25" s="69">
        <f>P20</f>
        <v>8.5</v>
      </c>
      <c r="J25" s="41">
        <f>(I25*G25)</f>
        <v>4.25</v>
      </c>
      <c r="K25" s="70" t="s">
        <v>77</v>
      </c>
      <c r="L25" s="33"/>
    </row>
    <row r="26" spans="2:26" x14ac:dyDescent="0.2">
      <c r="B26" s="64" t="s">
        <v>74</v>
      </c>
      <c r="C26" s="93"/>
      <c r="D26" s="79"/>
      <c r="E26" s="94"/>
      <c r="F26" s="94"/>
      <c r="G26" s="68">
        <f>O28</f>
        <v>20</v>
      </c>
      <c r="H26" s="65" t="s">
        <v>45</v>
      </c>
      <c r="I26" s="69">
        <f>Q28</f>
        <v>1.45</v>
      </c>
      <c r="J26" s="41">
        <f>(I26*G26)</f>
        <v>29</v>
      </c>
      <c r="K26" s="70" t="s">
        <v>48</v>
      </c>
      <c r="L26" s="33"/>
    </row>
    <row r="27" spans="2:26" x14ac:dyDescent="0.2">
      <c r="B27" s="64" t="s">
        <v>75</v>
      </c>
      <c r="C27" s="93"/>
      <c r="D27" s="79"/>
      <c r="E27" s="94"/>
      <c r="F27" s="94"/>
      <c r="G27" s="68">
        <f>O29</f>
        <v>20</v>
      </c>
      <c r="H27" s="65" t="s">
        <v>45</v>
      </c>
      <c r="I27" s="69">
        <f>Q29</f>
        <v>1.1000000000000001</v>
      </c>
      <c r="J27" s="41">
        <f>(I27*G27)</f>
        <v>22</v>
      </c>
      <c r="K27" s="73" t="s">
        <v>185</v>
      </c>
      <c r="L27" s="33"/>
      <c r="O27" s="71" t="s">
        <v>84</v>
      </c>
      <c r="P27" s="71" t="s">
        <v>8</v>
      </c>
      <c r="Q27" s="71" t="s">
        <v>64</v>
      </c>
    </row>
    <row r="28" spans="2:26" x14ac:dyDescent="0.2">
      <c r="B28" s="64" t="s">
        <v>79</v>
      </c>
      <c r="C28" s="93"/>
      <c r="D28" s="66">
        <v>1</v>
      </c>
      <c r="E28" s="94"/>
      <c r="F28" s="94"/>
      <c r="G28" s="68"/>
      <c r="H28" s="65" t="s">
        <v>69</v>
      </c>
      <c r="I28" s="69">
        <f>P17</f>
        <v>1.5</v>
      </c>
      <c r="J28" s="41">
        <f>I28*D28</f>
        <v>1.5</v>
      </c>
      <c r="K28" s="70" t="s">
        <v>80</v>
      </c>
      <c r="L28" s="33"/>
      <c r="N28" s="33" t="s">
        <v>48</v>
      </c>
      <c r="O28" s="71">
        <v>20</v>
      </c>
      <c r="P28" s="34">
        <f>(Q28*O28)</f>
        <v>29</v>
      </c>
      <c r="Q28" s="74">
        <v>1.45</v>
      </c>
    </row>
    <row r="29" spans="2:26" ht="13.5" thickBot="1" x14ac:dyDescent="0.25">
      <c r="B29" s="109" t="s">
        <v>24</v>
      </c>
      <c r="C29" s="149"/>
      <c r="D29" s="100"/>
      <c r="E29" s="101"/>
      <c r="F29" s="101"/>
      <c r="G29" s="101">
        <v>0.1</v>
      </c>
      <c r="H29" s="102" t="s">
        <v>45</v>
      </c>
      <c r="I29" s="48">
        <f>P18</f>
        <v>0</v>
      </c>
      <c r="J29" s="150">
        <f>(I29*G29)</f>
        <v>0</v>
      </c>
      <c r="K29" s="126" t="s">
        <v>49</v>
      </c>
      <c r="L29" s="33"/>
      <c r="N29" s="25" t="s">
        <v>184</v>
      </c>
      <c r="O29" s="71">
        <v>20</v>
      </c>
      <c r="P29" s="34">
        <f>(Q29*O29)</f>
        <v>22</v>
      </c>
      <c r="Q29" s="74">
        <v>1.1000000000000001</v>
      </c>
    </row>
    <row r="30" spans="2:26" ht="13.5" thickBot="1" x14ac:dyDescent="0.25">
      <c r="B30" s="50" t="s">
        <v>14</v>
      </c>
      <c r="C30" s="103"/>
      <c r="D30" s="76"/>
      <c r="E30" s="75"/>
      <c r="F30" s="75"/>
      <c r="G30" s="75"/>
      <c r="H30" s="75"/>
      <c r="I30" s="75"/>
      <c r="J30" s="57">
        <f>SUM(J25:J29)</f>
        <v>56.75</v>
      </c>
      <c r="K30" s="58"/>
      <c r="L30" s="33"/>
      <c r="Q30" s="74"/>
    </row>
    <row r="31" spans="2:26" ht="13.5" thickBot="1" x14ac:dyDescent="0.25">
      <c r="B31" s="50" t="s">
        <v>25</v>
      </c>
      <c r="C31" s="104"/>
      <c r="D31" s="76"/>
      <c r="E31" s="75"/>
      <c r="F31" s="75"/>
      <c r="G31" s="75"/>
      <c r="H31" s="75"/>
      <c r="I31" s="75"/>
      <c r="J31" s="57">
        <f>(J12+J18+J23+J30)</f>
        <v>400.77</v>
      </c>
      <c r="K31" s="58"/>
      <c r="L31" s="33"/>
    </row>
    <row r="32" spans="2:26" x14ac:dyDescent="0.2">
      <c r="B32" s="3" t="s">
        <v>26</v>
      </c>
      <c r="C32" s="91"/>
      <c r="D32" s="31"/>
      <c r="E32" s="30"/>
      <c r="F32" s="30"/>
      <c r="G32" s="30"/>
      <c r="H32" s="30"/>
      <c r="I32" s="30"/>
      <c r="J32" s="63"/>
      <c r="K32" s="32"/>
      <c r="L32" s="33"/>
    </row>
    <row r="33" spans="2:12" x14ac:dyDescent="0.2">
      <c r="B33" s="35" t="s">
        <v>27</v>
      </c>
      <c r="C33" s="95"/>
      <c r="D33" s="96"/>
      <c r="E33" s="97"/>
      <c r="F33" s="97"/>
      <c r="G33" s="97"/>
      <c r="H33" s="97"/>
      <c r="I33" s="97"/>
      <c r="J33" s="40">
        <f>J31*0.1</f>
        <v>40.076999999999998</v>
      </c>
      <c r="K33" s="42"/>
      <c r="L33" s="33"/>
    </row>
    <row r="34" spans="2:12" x14ac:dyDescent="0.2">
      <c r="B34" s="35" t="s">
        <v>28</v>
      </c>
      <c r="C34" s="95"/>
      <c r="D34" s="96"/>
      <c r="E34" s="97"/>
      <c r="F34" s="97"/>
      <c r="G34" s="97"/>
      <c r="H34" s="97"/>
      <c r="I34" s="97"/>
      <c r="J34" s="40">
        <f>P16</f>
        <v>45</v>
      </c>
      <c r="K34" s="42"/>
      <c r="L34" s="33"/>
    </row>
    <row r="35" spans="2:12" x14ac:dyDescent="0.2">
      <c r="B35" s="35" t="s">
        <v>29</v>
      </c>
      <c r="C35" s="95"/>
      <c r="D35" s="96"/>
      <c r="E35" s="97"/>
      <c r="F35" s="97"/>
      <c r="G35" s="97"/>
      <c r="H35" s="97"/>
      <c r="I35" s="97"/>
      <c r="J35" s="40">
        <f>((J31+J33+J34)*0.07)</f>
        <v>34.00929</v>
      </c>
      <c r="K35" s="42"/>
      <c r="L35" s="33"/>
    </row>
    <row r="36" spans="2:12" x14ac:dyDescent="0.2">
      <c r="B36" s="105" t="s">
        <v>30</v>
      </c>
      <c r="C36" s="93"/>
      <c r="D36" s="106"/>
      <c r="E36" s="107"/>
      <c r="F36" s="107"/>
      <c r="G36" s="107"/>
      <c r="H36" s="107"/>
      <c r="I36" s="107"/>
      <c r="J36" s="108">
        <f>((J31+J33+J34)*0.03)</f>
        <v>14.575409999999998</v>
      </c>
      <c r="K36" s="83"/>
      <c r="L36" s="33"/>
    </row>
    <row r="37" spans="2:12" ht="13.5" thickBot="1" x14ac:dyDescent="0.25">
      <c r="B37" s="109" t="s">
        <v>14</v>
      </c>
      <c r="C37" s="103"/>
      <c r="D37" s="110"/>
      <c r="E37" s="111"/>
      <c r="F37" s="111"/>
      <c r="G37" s="111"/>
      <c r="H37" s="111"/>
      <c r="I37" s="111"/>
      <c r="J37" s="112">
        <f>SUM(J33:J36)</f>
        <v>133.6617</v>
      </c>
      <c r="K37" s="113"/>
      <c r="L37" s="33"/>
    </row>
    <row r="38" spans="2:12" ht="13.5" thickBot="1" x14ac:dyDescent="0.25">
      <c r="B38" s="2" t="s">
        <v>31</v>
      </c>
      <c r="C38" s="104"/>
      <c r="D38" s="76"/>
      <c r="E38" s="54"/>
      <c r="F38" s="54"/>
      <c r="G38" s="75"/>
      <c r="H38" s="75"/>
      <c r="I38" s="75"/>
      <c r="J38" s="57">
        <f>(J31+J37)</f>
        <v>534.43169999999998</v>
      </c>
      <c r="K38" s="58"/>
      <c r="L38" s="33"/>
    </row>
    <row r="39" spans="2:12" ht="13.5" thickBot="1" x14ac:dyDescent="0.25">
      <c r="B39" s="33"/>
      <c r="C39" s="33"/>
      <c r="D39" s="33"/>
      <c r="E39" s="114"/>
      <c r="F39" s="114"/>
      <c r="G39" s="33"/>
      <c r="H39" s="33"/>
      <c r="I39" s="33"/>
      <c r="J39" s="33"/>
      <c r="K39" s="33"/>
      <c r="L39" s="33"/>
    </row>
    <row r="40" spans="2:12" x14ac:dyDescent="0.2">
      <c r="B40" s="115" t="s">
        <v>32</v>
      </c>
      <c r="C40" s="116" t="s">
        <v>67</v>
      </c>
      <c r="D40" s="60"/>
      <c r="E40" s="117">
        <v>60</v>
      </c>
      <c r="F40" s="60"/>
      <c r="G40" s="118"/>
      <c r="H40" s="118"/>
      <c r="I40" s="118"/>
      <c r="J40" s="118"/>
      <c r="K40" s="32"/>
      <c r="L40" s="33"/>
    </row>
    <row r="41" spans="2:12" x14ac:dyDescent="0.2">
      <c r="B41" s="35" t="s">
        <v>33</v>
      </c>
      <c r="C41" s="119" t="s">
        <v>68</v>
      </c>
      <c r="D41" s="119"/>
      <c r="E41" s="120">
        <v>105</v>
      </c>
      <c r="F41" s="121"/>
      <c r="G41" s="33" t="s">
        <v>186</v>
      </c>
      <c r="H41" s="33"/>
      <c r="I41" s="33"/>
      <c r="J41" s="33"/>
      <c r="K41" s="83"/>
      <c r="L41" s="33"/>
    </row>
    <row r="42" spans="2:12" x14ac:dyDescent="0.2">
      <c r="B42" s="35" t="s">
        <v>34</v>
      </c>
      <c r="C42" s="119" t="s">
        <v>68</v>
      </c>
      <c r="D42" s="119"/>
      <c r="E42" s="120">
        <f>(J38-E41)</f>
        <v>429.43169999999998</v>
      </c>
      <c r="F42" s="121"/>
      <c r="G42" s="122"/>
      <c r="H42" s="122"/>
      <c r="I42" s="122"/>
      <c r="J42" s="122"/>
      <c r="K42" s="42"/>
      <c r="L42" s="33"/>
    </row>
    <row r="43" spans="2:12" x14ac:dyDescent="0.2">
      <c r="B43" s="35" t="s">
        <v>34</v>
      </c>
      <c r="C43" s="119" t="s">
        <v>35</v>
      </c>
      <c r="D43" s="119"/>
      <c r="E43" s="120">
        <f>(E42/E40)</f>
        <v>7.1571949999999998</v>
      </c>
      <c r="F43" s="121"/>
      <c r="G43" s="33"/>
      <c r="H43" s="33"/>
      <c r="I43" s="33"/>
      <c r="J43" s="33"/>
      <c r="K43" s="83"/>
      <c r="L43" s="33"/>
    </row>
    <row r="44" spans="2:12" ht="13.5" thickBot="1" x14ac:dyDescent="0.25">
      <c r="B44" s="109" t="s">
        <v>81</v>
      </c>
      <c r="C44" s="123" t="s">
        <v>35</v>
      </c>
      <c r="D44" s="123"/>
      <c r="E44" s="124">
        <f>E43*1.3</f>
        <v>9.3043534999999995</v>
      </c>
      <c r="F44" s="125"/>
      <c r="G44" s="99"/>
      <c r="H44" s="99"/>
      <c r="I44" s="99"/>
      <c r="J44" s="99"/>
      <c r="K44" s="126"/>
      <c r="L44" s="33"/>
    </row>
    <row r="45" spans="2:12" x14ac:dyDescent="0.2">
      <c r="L45" s="33"/>
    </row>
    <row r="46" spans="2:12" x14ac:dyDescent="0.2">
      <c r="B46" s="33"/>
      <c r="C46" s="24"/>
      <c r="D46" s="24"/>
      <c r="E46" s="127"/>
      <c r="F46" s="127"/>
      <c r="G46" s="33"/>
      <c r="H46" s="33"/>
      <c r="I46" s="33"/>
      <c r="J46" s="33"/>
      <c r="K46" s="33"/>
      <c r="L46" s="33"/>
    </row>
    <row r="47" spans="2:12" x14ac:dyDescent="0.2">
      <c r="B47" s="25" t="s">
        <v>82</v>
      </c>
      <c r="C47" s="24"/>
      <c r="D47" s="24"/>
      <c r="E47" s="127"/>
      <c r="F47" s="127"/>
      <c r="G47" s="33"/>
      <c r="H47" s="33"/>
      <c r="I47" s="33"/>
      <c r="J47" s="33"/>
      <c r="K47" s="33"/>
      <c r="L47" s="33"/>
    </row>
    <row r="48" spans="2:12" x14ac:dyDescent="0.2">
      <c r="B48" s="25" t="s">
        <v>217</v>
      </c>
      <c r="L48" s="33"/>
    </row>
    <row r="49" spans="12:12" x14ac:dyDescent="0.2">
      <c r="L49" s="33"/>
    </row>
    <row r="71" spans="9:10" x14ac:dyDescent="0.2">
      <c r="I71" s="343"/>
      <c r="J71" s="343"/>
    </row>
    <row r="72" spans="9:10" x14ac:dyDescent="0.2">
      <c r="I72" s="332"/>
      <c r="J72" s="332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</sheetData>
  <mergeCells count="11">
    <mergeCell ref="I76:J76"/>
    <mergeCell ref="I77:J77"/>
    <mergeCell ref="I71:J71"/>
    <mergeCell ref="I72:J72"/>
    <mergeCell ref="I73:J73"/>
    <mergeCell ref="I74:J74"/>
    <mergeCell ref="B1:J1"/>
    <mergeCell ref="C3:D5"/>
    <mergeCell ref="E3:F3"/>
    <mergeCell ref="E4:F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9"/>
  <sheetViews>
    <sheetView topLeftCell="A7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7" width="9.7109375" style="25" customWidth="1"/>
    <col min="8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9.7109375" style="25" customWidth="1"/>
    <col min="14" max="17" width="9.7109375" style="25" hidden="1" customWidth="1"/>
    <col min="18" max="26" width="9.7109375" style="25" customWidth="1"/>
    <col min="27" max="16384" width="9.140625" style="25"/>
  </cols>
  <sheetData>
    <row r="1" spans="2:17" s="19" customFormat="1" x14ac:dyDescent="0.2">
      <c r="B1" s="333" t="s">
        <v>243</v>
      </c>
      <c r="C1" s="334"/>
      <c r="D1" s="334"/>
      <c r="E1" s="334"/>
      <c r="F1" s="334"/>
      <c r="G1" s="334"/>
      <c r="H1" s="334"/>
      <c r="I1" s="334"/>
    </row>
    <row r="2" spans="2:17" s="19" customFormat="1" ht="13.5" thickBot="1" x14ac:dyDescent="0.25"/>
    <row r="3" spans="2:17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7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7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7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7" x14ac:dyDescent="0.2">
      <c r="B7" s="35" t="s">
        <v>56</v>
      </c>
      <c r="C7" s="36" t="s">
        <v>59</v>
      </c>
      <c r="D7" s="37">
        <v>1</v>
      </c>
      <c r="E7" s="38">
        <v>0.75</v>
      </c>
      <c r="F7" s="38">
        <v>0.75</v>
      </c>
      <c r="G7" s="39">
        <v>1.7</v>
      </c>
      <c r="H7" s="36" t="s">
        <v>69</v>
      </c>
      <c r="I7" s="40">
        <f>P11</f>
        <v>4.5999999999999996</v>
      </c>
      <c r="J7" s="41">
        <f>(G7*I7)+(E7*P12)</f>
        <v>16.07</v>
      </c>
      <c r="K7" s="42" t="s">
        <v>37</v>
      </c>
      <c r="L7" s="33"/>
      <c r="P7" s="34"/>
    </row>
    <row r="8" spans="2:17" x14ac:dyDescent="0.2">
      <c r="B8" s="35" t="s">
        <v>11</v>
      </c>
      <c r="C8" s="36" t="s">
        <v>59</v>
      </c>
      <c r="D8" s="37"/>
      <c r="E8" s="38">
        <v>0.36</v>
      </c>
      <c r="F8" s="38">
        <v>0.36</v>
      </c>
      <c r="G8" s="39">
        <v>1</v>
      </c>
      <c r="H8" s="36" t="s">
        <v>69</v>
      </c>
      <c r="I8" s="40">
        <f>P11</f>
        <v>4.5999999999999996</v>
      </c>
      <c r="J8" s="41">
        <f>(I8*G8)+(P12*E8)</f>
        <v>8.5599999999999987</v>
      </c>
      <c r="K8" s="42" t="s">
        <v>39</v>
      </c>
      <c r="L8" s="33"/>
      <c r="P8" s="34"/>
    </row>
    <row r="9" spans="2:17" x14ac:dyDescent="0.2">
      <c r="B9" s="35" t="s">
        <v>12</v>
      </c>
      <c r="C9" s="36" t="s">
        <v>59</v>
      </c>
      <c r="D9" s="37">
        <v>1</v>
      </c>
      <c r="E9" s="38">
        <v>0.26</v>
      </c>
      <c r="F9" s="38">
        <v>0.26</v>
      </c>
      <c r="G9" s="39">
        <v>0.7</v>
      </c>
      <c r="H9" s="36" t="s">
        <v>69</v>
      </c>
      <c r="I9" s="40">
        <f>P11</f>
        <v>4.5999999999999996</v>
      </c>
      <c r="J9" s="41">
        <f>(I9*G9)+(P12*E9)</f>
        <v>6.08</v>
      </c>
      <c r="K9" s="42" t="s">
        <v>38</v>
      </c>
      <c r="L9" s="33"/>
      <c r="P9" s="34"/>
    </row>
    <row r="10" spans="2:17" x14ac:dyDescent="0.2">
      <c r="B10" s="35" t="s">
        <v>13</v>
      </c>
      <c r="C10" s="36" t="s">
        <v>83</v>
      </c>
      <c r="D10" s="37">
        <v>1</v>
      </c>
      <c r="E10" s="38">
        <v>0.2</v>
      </c>
      <c r="F10" s="38">
        <v>0.2</v>
      </c>
      <c r="G10" s="39">
        <v>0.7</v>
      </c>
      <c r="H10" s="36" t="s">
        <v>69</v>
      </c>
      <c r="I10" s="40">
        <f>P11</f>
        <v>4.5999999999999996</v>
      </c>
      <c r="J10" s="41">
        <f>(I10*G10)+(P11*E10)</f>
        <v>4.1399999999999997</v>
      </c>
      <c r="K10" s="42" t="s">
        <v>167</v>
      </c>
      <c r="L10" s="33"/>
      <c r="P10" s="25" t="s">
        <v>221</v>
      </c>
      <c r="Q10" s="25" t="s">
        <v>222</v>
      </c>
    </row>
    <row r="11" spans="2:17" ht="13.5" thickBot="1" x14ac:dyDescent="0.25">
      <c r="B11" s="43" t="s">
        <v>13</v>
      </c>
      <c r="C11" s="44" t="s">
        <v>83</v>
      </c>
      <c r="D11" s="45"/>
      <c r="E11" s="46">
        <v>0.2</v>
      </c>
      <c r="F11" s="46">
        <v>0.2</v>
      </c>
      <c r="G11" s="47"/>
      <c r="H11" s="44" t="s">
        <v>44</v>
      </c>
      <c r="I11" s="48">
        <f>P12</f>
        <v>11</v>
      </c>
      <c r="J11" s="41">
        <f>P12*E11</f>
        <v>2.2000000000000002</v>
      </c>
      <c r="K11" s="49" t="s">
        <v>166</v>
      </c>
      <c r="L11" s="33"/>
      <c r="N11" s="25" t="s">
        <v>87</v>
      </c>
      <c r="P11" s="34">
        <v>4.5999999999999996</v>
      </c>
      <c r="Q11" s="25">
        <v>4</v>
      </c>
    </row>
    <row r="12" spans="2:17" ht="13.5" thickBot="1" x14ac:dyDescent="0.25">
      <c r="B12" s="50" t="s">
        <v>14</v>
      </c>
      <c r="C12" s="51"/>
      <c r="D12" s="52"/>
      <c r="E12" s="53">
        <f>SUM(E7:E11)</f>
        <v>1.7699999999999998</v>
      </c>
      <c r="F12" s="54">
        <f>SUM(F7:F11)</f>
        <v>1.7699999999999998</v>
      </c>
      <c r="G12" s="55"/>
      <c r="H12" s="52"/>
      <c r="I12" s="56"/>
      <c r="J12" s="57">
        <f>SUM(J7:J11)</f>
        <v>37.050000000000004</v>
      </c>
      <c r="K12" s="58"/>
      <c r="L12" s="33"/>
      <c r="N12" s="25" t="s">
        <v>177</v>
      </c>
      <c r="P12" s="34">
        <v>11</v>
      </c>
    </row>
    <row r="13" spans="2:17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178</v>
      </c>
      <c r="P13" s="142">
        <v>7.5</v>
      </c>
    </row>
    <row r="14" spans="2:17" x14ac:dyDescent="0.2">
      <c r="B14" s="64" t="s">
        <v>16</v>
      </c>
      <c r="C14" s="65" t="s">
        <v>160</v>
      </c>
      <c r="D14" s="66">
        <v>1</v>
      </c>
      <c r="E14" s="67">
        <v>0.12</v>
      </c>
      <c r="F14" s="67">
        <v>0.12</v>
      </c>
      <c r="G14" s="68">
        <v>1</v>
      </c>
      <c r="H14" s="65" t="s">
        <v>69</v>
      </c>
      <c r="I14" s="69">
        <f>Q11</f>
        <v>4</v>
      </c>
      <c r="J14" s="41">
        <f>(P12*E14)+(G14*I14)</f>
        <v>5.32</v>
      </c>
      <c r="K14" s="70" t="s">
        <v>42</v>
      </c>
      <c r="L14" s="33"/>
      <c r="N14" s="25" t="s">
        <v>62</v>
      </c>
      <c r="P14" s="34">
        <v>18</v>
      </c>
    </row>
    <row r="15" spans="2:17" x14ac:dyDescent="0.2">
      <c r="B15" s="35" t="s">
        <v>16</v>
      </c>
      <c r="C15" s="36" t="s">
        <v>160</v>
      </c>
      <c r="D15" s="37"/>
      <c r="E15" s="38">
        <v>0.12</v>
      </c>
      <c r="F15" s="38"/>
      <c r="G15" s="39"/>
      <c r="H15" s="36" t="s">
        <v>44</v>
      </c>
      <c r="I15" s="40">
        <f>P12</f>
        <v>11</v>
      </c>
      <c r="J15" s="40">
        <f>I15*E15</f>
        <v>1.3199999999999998</v>
      </c>
      <c r="K15" s="42" t="s">
        <v>41</v>
      </c>
      <c r="L15" s="33"/>
      <c r="N15" s="25" t="s">
        <v>21</v>
      </c>
      <c r="P15" s="34">
        <v>30</v>
      </c>
    </row>
    <row r="16" spans="2:17" x14ac:dyDescent="0.2">
      <c r="B16" s="64" t="s">
        <v>17</v>
      </c>
      <c r="C16" s="65" t="s">
        <v>112</v>
      </c>
      <c r="D16" s="66">
        <v>1</v>
      </c>
      <c r="E16" s="67">
        <v>0.15</v>
      </c>
      <c r="F16" s="67">
        <v>0.15</v>
      </c>
      <c r="G16" s="68">
        <v>1</v>
      </c>
      <c r="H16" s="65" t="s">
        <v>69</v>
      </c>
      <c r="I16" s="69">
        <f>Q11</f>
        <v>4</v>
      </c>
      <c r="J16" s="41">
        <f>(P12*E16)+(G16*I16)</f>
        <v>5.65</v>
      </c>
      <c r="K16" s="70" t="s">
        <v>43</v>
      </c>
      <c r="L16" s="33"/>
      <c r="N16" s="25" t="s">
        <v>28</v>
      </c>
      <c r="P16" s="34">
        <v>180</v>
      </c>
    </row>
    <row r="17" spans="2:26" x14ac:dyDescent="0.2">
      <c r="B17" s="35" t="s">
        <v>17</v>
      </c>
      <c r="C17" s="36" t="s">
        <v>112</v>
      </c>
      <c r="D17" s="37"/>
      <c r="E17" s="38">
        <v>0.15</v>
      </c>
      <c r="F17" s="72"/>
      <c r="G17" s="39"/>
      <c r="H17" s="36" t="s">
        <v>44</v>
      </c>
      <c r="I17" s="40">
        <f>P12</f>
        <v>11</v>
      </c>
      <c r="J17" s="41">
        <f>(I17*E17)</f>
        <v>1.65</v>
      </c>
      <c r="K17" s="73" t="s">
        <v>41</v>
      </c>
      <c r="L17" s="33"/>
      <c r="N17" s="25" t="s">
        <v>79</v>
      </c>
      <c r="O17" s="71"/>
      <c r="P17" s="34">
        <v>1.5</v>
      </c>
      <c r="Q17" s="74"/>
    </row>
    <row r="18" spans="2:26" ht="13.5" thickBot="1" x14ac:dyDescent="0.25">
      <c r="B18" s="105" t="s">
        <v>188</v>
      </c>
      <c r="C18" s="151" t="s">
        <v>189</v>
      </c>
      <c r="D18" s="152">
        <v>2</v>
      </c>
      <c r="E18" s="38">
        <v>2</v>
      </c>
      <c r="F18" s="72">
        <v>1</v>
      </c>
      <c r="G18" s="128">
        <v>3</v>
      </c>
      <c r="H18" s="36" t="s">
        <v>69</v>
      </c>
      <c r="I18" s="129">
        <f>Q11</f>
        <v>4</v>
      </c>
      <c r="J18" s="41">
        <f>(I18*(F18*G18)+(E18*P12))*D18</f>
        <v>68</v>
      </c>
      <c r="K18" s="42" t="s">
        <v>86</v>
      </c>
      <c r="L18" s="33"/>
      <c r="N18" s="25" t="s">
        <v>63</v>
      </c>
      <c r="P18" s="34">
        <v>35</v>
      </c>
      <c r="Q18" s="74"/>
    </row>
    <row r="19" spans="2:26" ht="13.5" thickBot="1" x14ac:dyDescent="0.25">
      <c r="B19" s="50" t="s">
        <v>14</v>
      </c>
      <c r="C19" s="75"/>
      <c r="D19" s="76"/>
      <c r="E19" s="54">
        <f>SUM(E14:E17)</f>
        <v>0.54</v>
      </c>
      <c r="F19" s="54">
        <f>SUM(F14:F17)</f>
        <v>0.27</v>
      </c>
      <c r="G19" s="77"/>
      <c r="H19" s="51"/>
      <c r="I19" s="78"/>
      <c r="J19" s="57">
        <f>SUM(J14:J18)</f>
        <v>81.94</v>
      </c>
      <c r="K19" s="58"/>
      <c r="N19" s="25" t="s">
        <v>65</v>
      </c>
      <c r="P19" s="142">
        <v>15</v>
      </c>
    </row>
    <row r="20" spans="2:26" x14ac:dyDescent="0.2">
      <c r="B20" s="3" t="s">
        <v>18</v>
      </c>
      <c r="C20" s="30"/>
      <c r="D20" s="31"/>
      <c r="E20" s="61"/>
      <c r="F20" s="61"/>
      <c r="G20" s="62"/>
      <c r="H20" s="59"/>
      <c r="I20" s="63"/>
      <c r="J20" s="63"/>
      <c r="K20" s="32"/>
      <c r="L20" s="33"/>
      <c r="N20" s="25" t="s">
        <v>95</v>
      </c>
      <c r="P20" s="34">
        <v>35</v>
      </c>
    </row>
    <row r="21" spans="2:26" x14ac:dyDescent="0.2">
      <c r="B21" s="64" t="s">
        <v>19</v>
      </c>
      <c r="C21" s="65" t="s">
        <v>187</v>
      </c>
      <c r="D21" s="66">
        <v>1</v>
      </c>
      <c r="E21" s="67">
        <v>0.12</v>
      </c>
      <c r="F21" s="67">
        <v>0.12</v>
      </c>
      <c r="G21" s="68"/>
      <c r="H21" s="65" t="s">
        <v>69</v>
      </c>
      <c r="I21" s="69">
        <f>P14</f>
        <v>18</v>
      </c>
      <c r="J21" s="41">
        <f>(I21*D21)</f>
        <v>18</v>
      </c>
      <c r="K21" s="70" t="s">
        <v>46</v>
      </c>
      <c r="L21" s="33"/>
      <c r="N21" s="25" t="s">
        <v>96</v>
      </c>
      <c r="P21" s="34">
        <v>0.8</v>
      </c>
    </row>
    <row r="22" spans="2:26" x14ac:dyDescent="0.2">
      <c r="B22" s="64" t="s">
        <v>20</v>
      </c>
      <c r="C22" s="65" t="s">
        <v>187</v>
      </c>
      <c r="D22" s="79"/>
      <c r="E22" s="67">
        <v>0.12</v>
      </c>
      <c r="F22" s="67"/>
      <c r="G22" s="68"/>
      <c r="H22" s="65" t="s">
        <v>44</v>
      </c>
      <c r="I22" s="69">
        <f>P12</f>
        <v>11</v>
      </c>
      <c r="J22" s="40">
        <f>(I22*E22)</f>
        <v>1.3199999999999998</v>
      </c>
      <c r="K22" s="70" t="s">
        <v>41</v>
      </c>
      <c r="L22" s="33"/>
      <c r="Q22" s="71"/>
    </row>
    <row r="23" spans="2:26" ht="13.5" thickBot="1" x14ac:dyDescent="0.25">
      <c r="B23" s="43" t="s">
        <v>21</v>
      </c>
      <c r="C23" s="44" t="s">
        <v>187</v>
      </c>
      <c r="D23" s="80"/>
      <c r="E23" s="81">
        <v>0.05</v>
      </c>
      <c r="F23" s="81"/>
      <c r="G23" s="47"/>
      <c r="H23" s="44" t="s">
        <v>45</v>
      </c>
      <c r="I23" s="82">
        <f>P15/2000</f>
        <v>1.4999999999999999E-2</v>
      </c>
      <c r="J23" s="40">
        <f>I23*E42</f>
        <v>5.25</v>
      </c>
      <c r="K23" s="83" t="s">
        <v>47</v>
      </c>
      <c r="L23" s="33"/>
      <c r="O23" s="71"/>
      <c r="P23" s="33"/>
      <c r="Q23" s="24"/>
      <c r="R23" s="24"/>
      <c r="S23" s="84"/>
      <c r="T23" s="84"/>
      <c r="U23" s="33"/>
      <c r="V23" s="24"/>
      <c r="W23" s="85"/>
      <c r="X23" s="85"/>
      <c r="Y23" s="33"/>
      <c r="Z23" s="33"/>
    </row>
    <row r="24" spans="2:26" ht="13.5" thickBot="1" x14ac:dyDescent="0.25">
      <c r="B24" s="22" t="s">
        <v>14</v>
      </c>
      <c r="C24" s="75"/>
      <c r="D24" s="86"/>
      <c r="E24" s="87">
        <f>SUM(E21:E23)</f>
        <v>0.28999999999999998</v>
      </c>
      <c r="F24" s="87">
        <f>SUM(F21:F23)</f>
        <v>0.12</v>
      </c>
      <c r="G24" s="75"/>
      <c r="H24" s="88"/>
      <c r="I24" s="89"/>
      <c r="J24" s="57">
        <f>SUM(J21:J23)</f>
        <v>24.57</v>
      </c>
      <c r="K24" s="90"/>
      <c r="L24" s="33"/>
      <c r="O24" s="71"/>
      <c r="Q24" s="71"/>
    </row>
    <row r="25" spans="2:26" x14ac:dyDescent="0.2">
      <c r="B25" s="3" t="s">
        <v>22</v>
      </c>
      <c r="C25" s="91"/>
      <c r="D25" s="31"/>
      <c r="E25" s="30"/>
      <c r="F25" s="30"/>
      <c r="G25" s="30"/>
      <c r="H25" s="59"/>
      <c r="I25" s="63"/>
      <c r="J25" s="63"/>
      <c r="K25" s="32"/>
      <c r="L25" s="33"/>
      <c r="O25" s="92"/>
      <c r="Q25" s="71"/>
    </row>
    <row r="26" spans="2:26" x14ac:dyDescent="0.2">
      <c r="B26" s="64" t="s">
        <v>23</v>
      </c>
      <c r="C26" s="93"/>
      <c r="D26" s="79"/>
      <c r="E26" s="94"/>
      <c r="F26" s="94"/>
      <c r="G26" s="68">
        <f>P21</f>
        <v>0.8</v>
      </c>
      <c r="H26" s="65" t="s">
        <v>45</v>
      </c>
      <c r="I26" s="69">
        <f>P20</f>
        <v>35</v>
      </c>
      <c r="J26" s="41">
        <f>(I26*G26)</f>
        <v>28</v>
      </c>
      <c r="K26" s="70" t="s">
        <v>77</v>
      </c>
      <c r="L26" s="33"/>
    </row>
    <row r="27" spans="2:26" x14ac:dyDescent="0.2">
      <c r="B27" s="64" t="s">
        <v>74</v>
      </c>
      <c r="C27" s="93"/>
      <c r="D27" s="79"/>
      <c r="E27" s="94"/>
      <c r="F27" s="94"/>
      <c r="G27" s="68">
        <f>O29</f>
        <v>15</v>
      </c>
      <c r="H27" s="65" t="s">
        <v>45</v>
      </c>
      <c r="I27" s="69">
        <f>Q29</f>
        <v>1.45</v>
      </c>
      <c r="J27" s="41">
        <f>(I27*G27)</f>
        <v>21.75</v>
      </c>
      <c r="K27" s="70" t="s">
        <v>48</v>
      </c>
      <c r="L27" s="33"/>
    </row>
    <row r="28" spans="2:26" x14ac:dyDescent="0.2">
      <c r="B28" s="64" t="s">
        <v>75</v>
      </c>
      <c r="C28" s="93"/>
      <c r="D28" s="79"/>
      <c r="E28" s="94"/>
      <c r="F28" s="94"/>
      <c r="G28" s="68">
        <f>O30</f>
        <v>25</v>
      </c>
      <c r="H28" s="65" t="s">
        <v>45</v>
      </c>
      <c r="I28" s="69">
        <f>Q30</f>
        <v>1.05</v>
      </c>
      <c r="J28" s="41">
        <f>(I28*G28)</f>
        <v>26.25</v>
      </c>
      <c r="K28" s="70" t="s">
        <v>76</v>
      </c>
      <c r="L28" s="33"/>
      <c r="O28" s="71" t="s">
        <v>84</v>
      </c>
      <c r="P28" s="71" t="s">
        <v>8</v>
      </c>
      <c r="Q28" s="71" t="s">
        <v>64</v>
      </c>
    </row>
    <row r="29" spans="2:26" x14ac:dyDescent="0.2">
      <c r="B29" s="64" t="s">
        <v>79</v>
      </c>
      <c r="C29" s="93"/>
      <c r="D29" s="66">
        <v>1</v>
      </c>
      <c r="E29" s="94"/>
      <c r="F29" s="94"/>
      <c r="G29" s="68"/>
      <c r="H29" s="65" t="s">
        <v>69</v>
      </c>
      <c r="I29" s="69">
        <f>P17</f>
        <v>1.5</v>
      </c>
      <c r="J29" s="41">
        <f>I29*D29</f>
        <v>1.5</v>
      </c>
      <c r="K29" s="70" t="s">
        <v>80</v>
      </c>
      <c r="L29" s="33"/>
      <c r="N29" s="33" t="s">
        <v>48</v>
      </c>
      <c r="O29" s="71">
        <v>15</v>
      </c>
      <c r="P29" s="34">
        <f>(Q29*O29)</f>
        <v>21.75</v>
      </c>
      <c r="Q29" s="74">
        <v>1.45</v>
      </c>
    </row>
    <row r="30" spans="2:26" x14ac:dyDescent="0.2">
      <c r="B30" s="35" t="s">
        <v>24</v>
      </c>
      <c r="C30" s="95"/>
      <c r="D30" s="96"/>
      <c r="E30" s="97"/>
      <c r="F30" s="97"/>
      <c r="G30" s="97">
        <v>0.15</v>
      </c>
      <c r="H30" s="36" t="s">
        <v>45</v>
      </c>
      <c r="I30" s="40">
        <f>P18</f>
        <v>35</v>
      </c>
      <c r="J30" s="41">
        <f>(I30*G30)</f>
        <v>5.25</v>
      </c>
      <c r="K30" s="42" t="s">
        <v>49</v>
      </c>
      <c r="L30" s="33"/>
      <c r="N30" s="25" t="s">
        <v>78</v>
      </c>
      <c r="O30" s="71">
        <v>25</v>
      </c>
      <c r="P30" s="34">
        <f>(Q30*O30)</f>
        <v>26.25</v>
      </c>
      <c r="Q30" s="74">
        <v>1.05</v>
      </c>
    </row>
    <row r="31" spans="2:26" ht="13.5" thickBot="1" x14ac:dyDescent="0.25">
      <c r="B31" s="153" t="s">
        <v>57</v>
      </c>
      <c r="C31" s="154"/>
      <c r="D31" s="45">
        <v>1</v>
      </c>
      <c r="E31" s="143"/>
      <c r="F31" s="143"/>
      <c r="G31" s="143"/>
      <c r="H31" s="44" t="s">
        <v>69</v>
      </c>
      <c r="I31" s="82">
        <f>P19</f>
        <v>15</v>
      </c>
      <c r="J31" s="82">
        <f>P19</f>
        <v>15</v>
      </c>
      <c r="K31" s="49" t="s">
        <v>88</v>
      </c>
      <c r="L31" s="33"/>
      <c r="O31" s="71"/>
      <c r="P31" s="34"/>
      <c r="Q31" s="74"/>
    </row>
    <row r="32" spans="2:26" ht="13.5" thickBot="1" x14ac:dyDescent="0.25">
      <c r="B32" s="50" t="s">
        <v>14</v>
      </c>
      <c r="C32" s="103"/>
      <c r="D32" s="76"/>
      <c r="E32" s="75"/>
      <c r="F32" s="75"/>
      <c r="G32" s="75"/>
      <c r="H32" s="75"/>
      <c r="I32" s="75"/>
      <c r="J32" s="57">
        <f>SUM(J26:J31)</f>
        <v>97.75</v>
      </c>
      <c r="K32" s="58"/>
      <c r="L32" s="33"/>
      <c r="Q32" s="74"/>
    </row>
    <row r="33" spans="2:12" ht="13.5" thickBot="1" x14ac:dyDescent="0.25">
      <c r="B33" s="50" t="s">
        <v>25</v>
      </c>
      <c r="C33" s="104"/>
      <c r="D33" s="76"/>
      <c r="E33" s="75"/>
      <c r="F33" s="75"/>
      <c r="G33" s="75"/>
      <c r="H33" s="75"/>
      <c r="I33" s="75"/>
      <c r="J33" s="57">
        <f>(J12+J19+J24+J32)</f>
        <v>241.31</v>
      </c>
      <c r="K33" s="58"/>
      <c r="L33" s="33"/>
    </row>
    <row r="34" spans="2:12" x14ac:dyDescent="0.2">
      <c r="B34" s="3" t="s">
        <v>26</v>
      </c>
      <c r="C34" s="91"/>
      <c r="D34" s="31"/>
      <c r="E34" s="30"/>
      <c r="F34" s="30"/>
      <c r="G34" s="30"/>
      <c r="H34" s="30"/>
      <c r="I34" s="30"/>
      <c r="J34" s="63"/>
      <c r="K34" s="32"/>
      <c r="L34" s="33"/>
    </row>
    <row r="35" spans="2:12" x14ac:dyDescent="0.2">
      <c r="B35" s="35" t="s">
        <v>27</v>
      </c>
      <c r="C35" s="95"/>
      <c r="D35" s="96"/>
      <c r="E35" s="97"/>
      <c r="F35" s="97"/>
      <c r="G35" s="97"/>
      <c r="H35" s="97"/>
      <c r="I35" s="97"/>
      <c r="J35" s="40">
        <f>J33*0.1</f>
        <v>24.131</v>
      </c>
      <c r="K35" s="42"/>
      <c r="L35" s="33"/>
    </row>
    <row r="36" spans="2:12" x14ac:dyDescent="0.2">
      <c r="B36" s="35" t="s">
        <v>28</v>
      </c>
      <c r="C36" s="95"/>
      <c r="D36" s="96"/>
      <c r="E36" s="97"/>
      <c r="F36" s="97"/>
      <c r="G36" s="97"/>
      <c r="H36" s="97"/>
      <c r="I36" s="97"/>
      <c r="J36" s="40">
        <f>P16</f>
        <v>180</v>
      </c>
      <c r="K36" s="42"/>
      <c r="L36" s="33"/>
    </row>
    <row r="37" spans="2:12" x14ac:dyDescent="0.2">
      <c r="B37" s="35" t="s">
        <v>29</v>
      </c>
      <c r="C37" s="95"/>
      <c r="D37" s="96"/>
      <c r="E37" s="97"/>
      <c r="F37" s="97"/>
      <c r="G37" s="97"/>
      <c r="H37" s="97"/>
      <c r="I37" s="97"/>
      <c r="J37" s="40">
        <f>((J33+J35+J36)*0.07)</f>
        <v>31.180870000000006</v>
      </c>
      <c r="K37" s="42"/>
      <c r="L37" s="33"/>
    </row>
    <row r="38" spans="2:12" x14ac:dyDescent="0.2">
      <c r="B38" s="105" t="s">
        <v>30</v>
      </c>
      <c r="C38" s="93"/>
      <c r="D38" s="106"/>
      <c r="E38" s="107"/>
      <c r="F38" s="107"/>
      <c r="G38" s="107"/>
      <c r="H38" s="107"/>
      <c r="I38" s="107"/>
      <c r="J38" s="108">
        <f>((J33+J35+J36)*0.03)</f>
        <v>13.36323</v>
      </c>
      <c r="K38" s="83"/>
      <c r="L38" s="33"/>
    </row>
    <row r="39" spans="2:12" ht="13.5" thickBot="1" x14ac:dyDescent="0.25">
      <c r="B39" s="109" t="s">
        <v>14</v>
      </c>
      <c r="C39" s="103"/>
      <c r="D39" s="110"/>
      <c r="E39" s="111"/>
      <c r="F39" s="111"/>
      <c r="G39" s="111"/>
      <c r="H39" s="111"/>
      <c r="I39" s="111"/>
      <c r="J39" s="112">
        <f>SUM(J35:J38)</f>
        <v>248.67509999999999</v>
      </c>
      <c r="K39" s="113"/>
      <c r="L39" s="33"/>
    </row>
    <row r="40" spans="2:12" ht="13.5" thickBot="1" x14ac:dyDescent="0.25">
      <c r="B40" s="2" t="s">
        <v>31</v>
      </c>
      <c r="C40" s="104"/>
      <c r="D40" s="76"/>
      <c r="E40" s="54"/>
      <c r="F40" s="54"/>
      <c r="G40" s="75"/>
      <c r="H40" s="75"/>
      <c r="I40" s="75"/>
      <c r="J40" s="57">
        <f>(J33+J39)</f>
        <v>489.98509999999999</v>
      </c>
      <c r="K40" s="58"/>
      <c r="L40" s="33"/>
    </row>
    <row r="41" spans="2:12" ht="13.5" thickBot="1" x14ac:dyDescent="0.25">
      <c r="B41" s="33"/>
      <c r="C41" s="33"/>
      <c r="D41" s="33"/>
      <c r="E41" s="114"/>
      <c r="F41" s="114"/>
      <c r="G41" s="33"/>
      <c r="H41" s="33"/>
      <c r="I41" s="33"/>
      <c r="J41" s="33"/>
      <c r="K41" s="33"/>
      <c r="L41" s="33"/>
    </row>
    <row r="42" spans="2:12" x14ac:dyDescent="0.2">
      <c r="B42" s="115" t="s">
        <v>32</v>
      </c>
      <c r="C42" s="116" t="s">
        <v>67</v>
      </c>
      <c r="D42" s="60"/>
      <c r="E42" s="117">
        <v>350</v>
      </c>
      <c r="F42" s="60"/>
      <c r="G42" s="118"/>
      <c r="H42" s="118"/>
      <c r="I42" s="118"/>
      <c r="J42" s="118"/>
      <c r="K42" s="32"/>
      <c r="L42" s="33"/>
    </row>
    <row r="43" spans="2:12" x14ac:dyDescent="0.2">
      <c r="B43" s="35" t="s">
        <v>33</v>
      </c>
      <c r="C43" s="119" t="s">
        <v>68</v>
      </c>
      <c r="D43" s="119"/>
      <c r="E43" s="120">
        <v>0</v>
      </c>
      <c r="F43" s="121"/>
      <c r="G43" s="33"/>
      <c r="H43" s="33"/>
      <c r="I43" s="33"/>
      <c r="J43" s="33"/>
      <c r="K43" s="83"/>
      <c r="L43" s="33"/>
    </row>
    <row r="44" spans="2:12" x14ac:dyDescent="0.2">
      <c r="B44" s="35" t="s">
        <v>34</v>
      </c>
      <c r="C44" s="119" t="s">
        <v>68</v>
      </c>
      <c r="D44" s="119"/>
      <c r="E44" s="120">
        <f>(J40-E43)</f>
        <v>489.98509999999999</v>
      </c>
      <c r="F44" s="121"/>
      <c r="G44" s="122"/>
      <c r="H44" s="122"/>
      <c r="I44" s="122"/>
      <c r="J44" s="122"/>
      <c r="K44" s="42"/>
      <c r="L44" s="33"/>
    </row>
    <row r="45" spans="2:12" x14ac:dyDescent="0.2">
      <c r="B45" s="35" t="s">
        <v>34</v>
      </c>
      <c r="C45" s="119" t="s">
        <v>35</v>
      </c>
      <c r="D45" s="119"/>
      <c r="E45" s="120">
        <f>(E44/E42)</f>
        <v>1.3999574285714285</v>
      </c>
      <c r="F45" s="121"/>
      <c r="G45" s="33"/>
      <c r="H45" s="33"/>
      <c r="I45" s="33"/>
      <c r="J45" s="33"/>
      <c r="K45" s="83"/>
      <c r="L45" s="33"/>
    </row>
    <row r="46" spans="2:12" ht="13.5" thickBot="1" x14ac:dyDescent="0.25">
      <c r="B46" s="109" t="s">
        <v>81</v>
      </c>
      <c r="C46" s="123" t="s">
        <v>35</v>
      </c>
      <c r="D46" s="123"/>
      <c r="E46" s="124">
        <f>E45*1.3</f>
        <v>1.819944657142857</v>
      </c>
      <c r="F46" s="125"/>
      <c r="G46" s="99"/>
      <c r="H46" s="99"/>
      <c r="I46" s="99"/>
      <c r="J46" s="99"/>
      <c r="K46" s="126"/>
      <c r="L46" s="33"/>
    </row>
    <row r="47" spans="2:12" x14ac:dyDescent="0.2">
      <c r="L47" s="33"/>
    </row>
    <row r="48" spans="2:12" x14ac:dyDescent="0.2">
      <c r="B48" s="33"/>
      <c r="C48" s="24"/>
      <c r="D48" s="24"/>
      <c r="E48" s="127"/>
      <c r="F48" s="127"/>
      <c r="G48" s="33"/>
      <c r="H48" s="33"/>
      <c r="I48" s="33"/>
      <c r="J48" s="33"/>
      <c r="K48" s="33"/>
      <c r="L48" s="33"/>
    </row>
    <row r="49" spans="2:12" x14ac:dyDescent="0.2">
      <c r="B49" s="25" t="s">
        <v>82</v>
      </c>
      <c r="C49" s="24"/>
      <c r="D49" s="24"/>
      <c r="E49" s="127"/>
      <c r="F49" s="127"/>
      <c r="G49" s="33"/>
      <c r="H49" s="33"/>
      <c r="I49" s="33"/>
      <c r="J49" s="33"/>
      <c r="K49" s="33"/>
      <c r="L49" s="33"/>
    </row>
    <row r="50" spans="2:12" x14ac:dyDescent="0.2">
      <c r="B50" s="25" t="s">
        <v>217</v>
      </c>
      <c r="L50" s="33"/>
    </row>
    <row r="51" spans="2:12" x14ac:dyDescent="0.2">
      <c r="L51" s="33"/>
    </row>
    <row r="73" spans="9:10" x14ac:dyDescent="0.2">
      <c r="I73" s="343"/>
      <c r="J73" s="343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  <row r="79" spans="9:10" x14ac:dyDescent="0.2">
      <c r="I79" s="332"/>
      <c r="J79" s="332"/>
    </row>
  </sheetData>
  <mergeCells count="11">
    <mergeCell ref="I79:J79"/>
    <mergeCell ref="I74:J74"/>
    <mergeCell ref="I75:J75"/>
    <mergeCell ref="I76:J76"/>
    <mergeCell ref="I77:J77"/>
    <mergeCell ref="I78:J78"/>
    <mergeCell ref="B1:I1"/>
    <mergeCell ref="C3:D5"/>
    <mergeCell ref="E3:F3"/>
    <mergeCell ref="E4:F4"/>
    <mergeCell ref="I73:J73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7"/>
  <sheetViews>
    <sheetView topLeftCell="A16" zoomScaleNormal="100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9.5703125" style="25" customWidth="1"/>
    <col min="14" max="17" width="9.5703125" style="25" hidden="1" customWidth="1"/>
    <col min="18" max="19" width="9.5703125" style="25" customWidth="1"/>
    <col min="20" max="16384" width="9.140625" style="25"/>
  </cols>
  <sheetData>
    <row r="1" spans="2:16" s="19" customFormat="1" x14ac:dyDescent="0.2">
      <c r="B1" s="333" t="s">
        <v>244</v>
      </c>
      <c r="C1" s="334"/>
      <c r="D1" s="334"/>
      <c r="E1" s="334"/>
      <c r="F1" s="334"/>
      <c r="G1" s="334"/>
      <c r="H1" s="334"/>
      <c r="I1" s="334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102</v>
      </c>
      <c r="D7" s="37">
        <v>1</v>
      </c>
      <c r="E7" s="38">
        <v>0.75</v>
      </c>
      <c r="F7" s="38">
        <v>0.75</v>
      </c>
      <c r="G7" s="39">
        <v>1.7</v>
      </c>
      <c r="H7" s="36" t="s">
        <v>69</v>
      </c>
      <c r="I7" s="40">
        <f>P11</f>
        <v>4.5999999999999996</v>
      </c>
      <c r="J7" s="41">
        <f>(G7*I7)+(E7*P12)</f>
        <v>16.07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58</v>
      </c>
      <c r="D8" s="37"/>
      <c r="E8" s="38">
        <v>0.36</v>
      </c>
      <c r="F8" s="38">
        <v>0.36</v>
      </c>
      <c r="G8" s="39">
        <v>1</v>
      </c>
      <c r="H8" s="36" t="s">
        <v>69</v>
      </c>
      <c r="I8" s="40">
        <f>P11</f>
        <v>4.5999999999999996</v>
      </c>
      <c r="J8" s="41">
        <f>(I8*G8)+(P12*E8)</f>
        <v>8.5599999999999987</v>
      </c>
      <c r="K8" s="42" t="s">
        <v>39</v>
      </c>
      <c r="L8" s="33"/>
      <c r="P8" s="34"/>
    </row>
    <row r="9" spans="2:16" x14ac:dyDescent="0.2">
      <c r="B9" s="35" t="s">
        <v>12</v>
      </c>
      <c r="C9" s="36" t="s">
        <v>58</v>
      </c>
      <c r="D9" s="37">
        <v>1</v>
      </c>
      <c r="E9" s="38">
        <v>0.26</v>
      </c>
      <c r="F9" s="38">
        <v>0.26</v>
      </c>
      <c r="G9" s="39">
        <v>0.7</v>
      </c>
      <c r="H9" s="36" t="s">
        <v>69</v>
      </c>
      <c r="I9" s="40">
        <f>P11</f>
        <v>4.5999999999999996</v>
      </c>
      <c r="J9" s="41">
        <f>(I9*G9)+(P12*E9)</f>
        <v>6.08</v>
      </c>
      <c r="K9" s="42" t="s">
        <v>38</v>
      </c>
      <c r="L9" s="33"/>
      <c r="P9" s="34"/>
    </row>
    <row r="10" spans="2:16" x14ac:dyDescent="0.2">
      <c r="B10" s="35" t="s">
        <v>13</v>
      </c>
      <c r="C10" s="36" t="s">
        <v>58</v>
      </c>
      <c r="D10" s="37">
        <v>1</v>
      </c>
      <c r="E10" s="38">
        <v>0.2</v>
      </c>
      <c r="F10" s="38">
        <v>0.2</v>
      </c>
      <c r="G10" s="39">
        <v>0.7</v>
      </c>
      <c r="H10" s="36" t="s">
        <v>69</v>
      </c>
      <c r="I10" s="40">
        <f>P11</f>
        <v>4.5999999999999996</v>
      </c>
      <c r="J10" s="41">
        <f>(I10*G10)+(P11*E10)</f>
        <v>4.1399999999999997</v>
      </c>
      <c r="K10" s="42" t="s">
        <v>167</v>
      </c>
      <c r="L10" s="33"/>
      <c r="P10" s="25" t="s">
        <v>222</v>
      </c>
    </row>
    <row r="11" spans="2:16" ht="13.5" thickBot="1" x14ac:dyDescent="0.25">
      <c r="B11" s="43" t="s">
        <v>13</v>
      </c>
      <c r="C11" s="44" t="s">
        <v>58</v>
      </c>
      <c r="D11" s="45"/>
      <c r="E11" s="67">
        <v>4.4999999999999998E-2</v>
      </c>
      <c r="F11" s="67">
        <v>4.4999999999999998E-2</v>
      </c>
      <c r="G11" s="47"/>
      <c r="H11" s="44" t="s">
        <v>44</v>
      </c>
      <c r="I11" s="48">
        <f>P12</f>
        <v>11</v>
      </c>
      <c r="J11" s="41">
        <f>P12*E11</f>
        <v>0.495</v>
      </c>
      <c r="K11" s="49" t="s">
        <v>166</v>
      </c>
      <c r="L11" s="33"/>
      <c r="N11" s="25" t="s">
        <v>87</v>
      </c>
      <c r="P11" s="34">
        <v>4.5999999999999996</v>
      </c>
    </row>
    <row r="12" spans="2:16" ht="13.5" thickBot="1" x14ac:dyDescent="0.25">
      <c r="B12" s="50" t="s">
        <v>14</v>
      </c>
      <c r="C12" s="51"/>
      <c r="D12" s="52"/>
      <c r="E12" s="53">
        <f>SUM(E7:E11)</f>
        <v>1.6149999999999998</v>
      </c>
      <c r="F12" s="54">
        <f>SUM(F7:F11)</f>
        <v>1.6149999999999998</v>
      </c>
      <c r="G12" s="55"/>
      <c r="H12" s="52"/>
      <c r="I12" s="56"/>
      <c r="J12" s="57">
        <f>SUM(J7:J11)</f>
        <v>35.344999999999999</v>
      </c>
      <c r="K12" s="58"/>
      <c r="L12" s="33"/>
      <c r="N12" s="25" t="s">
        <v>177</v>
      </c>
      <c r="P12" s="34">
        <v>11</v>
      </c>
    </row>
    <row r="13" spans="2:16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178</v>
      </c>
      <c r="P13" s="142">
        <v>0</v>
      </c>
    </row>
    <row r="14" spans="2:16" x14ac:dyDescent="0.2">
      <c r="B14" s="64" t="s">
        <v>16</v>
      </c>
      <c r="C14" s="65" t="s">
        <v>190</v>
      </c>
      <c r="D14" s="66">
        <v>1</v>
      </c>
      <c r="E14" s="67">
        <v>0</v>
      </c>
      <c r="F14" s="67">
        <v>0</v>
      </c>
      <c r="G14" s="68">
        <v>0</v>
      </c>
      <c r="H14" s="65" t="s">
        <v>69</v>
      </c>
      <c r="I14" s="69">
        <v>0</v>
      </c>
      <c r="J14" s="41">
        <f>(P12*E14)+(G14*I14)</f>
        <v>0</v>
      </c>
      <c r="K14" s="70" t="s">
        <v>42</v>
      </c>
      <c r="L14" s="33"/>
      <c r="N14" s="25" t="s">
        <v>62</v>
      </c>
      <c r="P14" s="34">
        <v>20</v>
      </c>
    </row>
    <row r="15" spans="2:16" x14ac:dyDescent="0.2">
      <c r="B15" s="35" t="s">
        <v>16</v>
      </c>
      <c r="C15" s="36" t="s">
        <v>190</v>
      </c>
      <c r="D15" s="37"/>
      <c r="E15" s="38">
        <v>0</v>
      </c>
      <c r="F15" s="38"/>
      <c r="G15" s="39"/>
      <c r="H15" s="36" t="s">
        <v>44</v>
      </c>
      <c r="I15" s="40">
        <v>0</v>
      </c>
      <c r="J15" s="40">
        <f>I15*E15</f>
        <v>0</v>
      </c>
      <c r="K15" s="42" t="s">
        <v>41</v>
      </c>
      <c r="L15" s="33"/>
      <c r="N15" s="25" t="s">
        <v>21</v>
      </c>
      <c r="P15" s="34">
        <v>30</v>
      </c>
    </row>
    <row r="16" spans="2:16" x14ac:dyDescent="0.2">
      <c r="B16" s="64" t="s">
        <v>17</v>
      </c>
      <c r="C16" s="65" t="s">
        <v>58</v>
      </c>
      <c r="D16" s="66">
        <v>1</v>
      </c>
      <c r="E16" s="67">
        <v>0.15</v>
      </c>
      <c r="F16" s="67">
        <v>0.15</v>
      </c>
      <c r="G16" s="68">
        <v>0.5</v>
      </c>
      <c r="H16" s="65" t="s">
        <v>69</v>
      </c>
      <c r="I16" s="69">
        <f>P11</f>
        <v>4.5999999999999996</v>
      </c>
      <c r="J16" s="41">
        <f>(P12*E16)+(G16*I16)</f>
        <v>3.9499999999999997</v>
      </c>
      <c r="K16" s="70" t="s">
        <v>43</v>
      </c>
      <c r="L16" s="33"/>
      <c r="N16" s="25" t="s">
        <v>28</v>
      </c>
      <c r="P16" s="34">
        <v>45</v>
      </c>
    </row>
    <row r="17" spans="2:26" ht="13.5" thickBot="1" x14ac:dyDescent="0.25">
      <c r="B17" s="35" t="s">
        <v>17</v>
      </c>
      <c r="C17" s="36" t="s">
        <v>58</v>
      </c>
      <c r="D17" s="37"/>
      <c r="E17" s="38">
        <v>0.15</v>
      </c>
      <c r="F17" s="72"/>
      <c r="G17" s="39"/>
      <c r="H17" s="36" t="s">
        <v>44</v>
      </c>
      <c r="I17" s="40">
        <f>P12</f>
        <v>11</v>
      </c>
      <c r="J17" s="41">
        <f>(I17*E17)</f>
        <v>1.65</v>
      </c>
      <c r="K17" s="73" t="s">
        <v>41</v>
      </c>
      <c r="L17" s="33"/>
      <c r="N17" s="25" t="s">
        <v>79</v>
      </c>
      <c r="O17" s="71"/>
      <c r="P17" s="34">
        <v>1.5</v>
      </c>
      <c r="Q17" s="74"/>
    </row>
    <row r="18" spans="2:26" ht="13.5" thickBot="1" x14ac:dyDescent="0.25">
      <c r="B18" s="50" t="s">
        <v>14</v>
      </c>
      <c r="C18" s="75"/>
      <c r="D18" s="76"/>
      <c r="E18" s="54">
        <f>SUM(E14:E17)</f>
        <v>0.3</v>
      </c>
      <c r="F18" s="54">
        <f>SUM(F14:F17)</f>
        <v>0.15</v>
      </c>
      <c r="G18" s="77"/>
      <c r="H18" s="51"/>
      <c r="I18" s="78"/>
      <c r="J18" s="57">
        <f>SUM(J14:J17)</f>
        <v>5.6</v>
      </c>
      <c r="K18" s="58"/>
      <c r="N18" s="25" t="s">
        <v>63</v>
      </c>
      <c r="P18" s="34">
        <v>2.5</v>
      </c>
    </row>
    <row r="19" spans="2:26" x14ac:dyDescent="0.2">
      <c r="B19" s="3" t="s">
        <v>18</v>
      </c>
      <c r="C19" s="30"/>
      <c r="D19" s="31"/>
      <c r="E19" s="61"/>
      <c r="F19" s="61"/>
      <c r="G19" s="62"/>
      <c r="H19" s="59"/>
      <c r="I19" s="63"/>
      <c r="J19" s="63"/>
      <c r="K19" s="32"/>
      <c r="L19" s="33"/>
      <c r="N19" s="25" t="s">
        <v>95</v>
      </c>
      <c r="P19" s="34">
        <v>4</v>
      </c>
    </row>
    <row r="20" spans="2:26" x14ac:dyDescent="0.2">
      <c r="B20" s="64" t="s">
        <v>19</v>
      </c>
      <c r="C20" s="65" t="s">
        <v>59</v>
      </c>
      <c r="D20" s="66">
        <v>1</v>
      </c>
      <c r="E20" s="67">
        <v>0.12</v>
      </c>
      <c r="F20" s="67">
        <v>0.12</v>
      </c>
      <c r="G20" s="68"/>
      <c r="H20" s="65" t="s">
        <v>69</v>
      </c>
      <c r="I20" s="69">
        <f>P14</f>
        <v>20</v>
      </c>
      <c r="J20" s="41">
        <f>(I20*D20)</f>
        <v>20</v>
      </c>
      <c r="K20" s="70" t="s">
        <v>46</v>
      </c>
      <c r="L20" s="33"/>
      <c r="N20" s="25" t="s">
        <v>96</v>
      </c>
      <c r="P20" s="34">
        <v>4</v>
      </c>
    </row>
    <row r="21" spans="2:26" x14ac:dyDescent="0.2">
      <c r="B21" s="64" t="s">
        <v>20</v>
      </c>
      <c r="C21" s="65" t="s">
        <v>59</v>
      </c>
      <c r="D21" s="79"/>
      <c r="E21" s="67">
        <v>4.4999999999999998E-2</v>
      </c>
      <c r="F21" s="67"/>
      <c r="G21" s="68"/>
      <c r="H21" s="65" t="s">
        <v>44</v>
      </c>
      <c r="I21" s="69">
        <f>P12</f>
        <v>11</v>
      </c>
      <c r="J21" s="40">
        <f>(I21*E21)</f>
        <v>0.495</v>
      </c>
      <c r="K21" s="70" t="s">
        <v>41</v>
      </c>
      <c r="L21" s="33"/>
      <c r="Q21" s="71"/>
    </row>
    <row r="22" spans="2:26" ht="13.5" thickBot="1" x14ac:dyDescent="0.25">
      <c r="B22" s="43" t="s">
        <v>21</v>
      </c>
      <c r="C22" s="44" t="s">
        <v>59</v>
      </c>
      <c r="D22" s="80"/>
      <c r="E22" s="81">
        <v>0.05</v>
      </c>
      <c r="F22" s="81">
        <v>0.05</v>
      </c>
      <c r="G22" s="47"/>
      <c r="H22" s="44" t="s">
        <v>45</v>
      </c>
      <c r="I22" s="82">
        <f>P15/2000</f>
        <v>1.4999999999999999E-2</v>
      </c>
      <c r="J22" s="40">
        <f>I22*E40</f>
        <v>1.7999999999999998</v>
      </c>
      <c r="K22" s="83" t="s">
        <v>47</v>
      </c>
      <c r="L22" s="33"/>
      <c r="O22" s="71"/>
      <c r="P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ht="13.5" thickBot="1" x14ac:dyDescent="0.25">
      <c r="B23" s="22" t="s">
        <v>14</v>
      </c>
      <c r="C23" s="75"/>
      <c r="D23" s="86"/>
      <c r="E23" s="87">
        <f>SUM(E20:E22)</f>
        <v>0.21499999999999997</v>
      </c>
      <c r="F23" s="87">
        <f>SUM(F20:F22)</f>
        <v>0.16999999999999998</v>
      </c>
      <c r="G23" s="75"/>
      <c r="H23" s="88"/>
      <c r="I23" s="89"/>
      <c r="J23" s="57">
        <f>SUM(J20:J22)</f>
        <v>22.295000000000002</v>
      </c>
      <c r="K23" s="90"/>
      <c r="L23" s="33"/>
      <c r="O23" s="71"/>
      <c r="Q23" s="71"/>
    </row>
    <row r="24" spans="2:26" x14ac:dyDescent="0.2">
      <c r="B24" s="3" t="s">
        <v>22</v>
      </c>
      <c r="C24" s="91"/>
      <c r="D24" s="31"/>
      <c r="E24" s="30"/>
      <c r="F24" s="30"/>
      <c r="G24" s="30"/>
      <c r="H24" s="59"/>
      <c r="I24" s="63"/>
      <c r="J24" s="63"/>
      <c r="K24" s="32"/>
      <c r="L24" s="33"/>
      <c r="O24" s="92"/>
      <c r="Q24" s="71"/>
    </row>
    <row r="25" spans="2:26" x14ac:dyDescent="0.2">
      <c r="B25" s="64" t="s">
        <v>23</v>
      </c>
      <c r="C25" s="93"/>
      <c r="D25" s="79"/>
      <c r="E25" s="94"/>
      <c r="F25" s="94"/>
      <c r="G25" s="68">
        <f>P20</f>
        <v>4</v>
      </c>
      <c r="H25" s="65" t="s">
        <v>45</v>
      </c>
      <c r="I25" s="69">
        <f>P19</f>
        <v>4</v>
      </c>
      <c r="J25" s="41">
        <f>(I25*G25)</f>
        <v>16</v>
      </c>
      <c r="K25" s="70" t="s">
        <v>77</v>
      </c>
      <c r="L25" s="33"/>
    </row>
    <row r="26" spans="2:26" x14ac:dyDescent="0.2">
      <c r="B26" s="64" t="s">
        <v>74</v>
      </c>
      <c r="C26" s="93"/>
      <c r="D26" s="79"/>
      <c r="E26" s="94"/>
      <c r="F26" s="94"/>
      <c r="G26" s="68">
        <f>O28</f>
        <v>10</v>
      </c>
      <c r="H26" s="65" t="s">
        <v>45</v>
      </c>
      <c r="I26" s="69">
        <f>Q28</f>
        <v>1.45</v>
      </c>
      <c r="J26" s="41">
        <f>(I26*G26)</f>
        <v>14.5</v>
      </c>
      <c r="K26" s="70" t="s">
        <v>48</v>
      </c>
      <c r="L26" s="33"/>
    </row>
    <row r="27" spans="2:26" x14ac:dyDescent="0.2">
      <c r="B27" s="64" t="s">
        <v>75</v>
      </c>
      <c r="C27" s="93"/>
      <c r="D27" s="79"/>
      <c r="E27" s="94"/>
      <c r="F27" s="94"/>
      <c r="G27" s="68">
        <f>O29</f>
        <v>10</v>
      </c>
      <c r="H27" s="65" t="s">
        <v>45</v>
      </c>
      <c r="I27" s="69">
        <f>Q29</f>
        <v>1.05</v>
      </c>
      <c r="J27" s="41">
        <f>(I27*G27)</f>
        <v>10.5</v>
      </c>
      <c r="K27" s="70" t="s">
        <v>76</v>
      </c>
      <c r="L27" s="33"/>
      <c r="O27" s="71" t="s">
        <v>84</v>
      </c>
      <c r="P27" s="71" t="s">
        <v>8</v>
      </c>
      <c r="Q27" s="71" t="s">
        <v>64</v>
      </c>
    </row>
    <row r="28" spans="2:26" x14ac:dyDescent="0.2">
      <c r="B28" s="64" t="s">
        <v>79</v>
      </c>
      <c r="C28" s="93"/>
      <c r="D28" s="66">
        <v>1</v>
      </c>
      <c r="E28" s="94"/>
      <c r="F28" s="94"/>
      <c r="G28" s="68"/>
      <c r="H28" s="65" t="s">
        <v>69</v>
      </c>
      <c r="I28" s="69">
        <f>P17</f>
        <v>1.5</v>
      </c>
      <c r="J28" s="41">
        <f>I28*D28</f>
        <v>1.5</v>
      </c>
      <c r="K28" s="70" t="s">
        <v>80</v>
      </c>
      <c r="L28" s="33"/>
      <c r="N28" s="33" t="s">
        <v>48</v>
      </c>
      <c r="O28" s="71">
        <v>10</v>
      </c>
      <c r="P28" s="34">
        <f>(Q28*O28)</f>
        <v>14.5</v>
      </c>
      <c r="Q28" s="74">
        <v>1.45</v>
      </c>
    </row>
    <row r="29" spans="2:26" ht="13.5" thickBot="1" x14ac:dyDescent="0.25">
      <c r="B29" s="35" t="s">
        <v>24</v>
      </c>
      <c r="C29" s="149"/>
      <c r="D29" s="96"/>
      <c r="E29" s="97"/>
      <c r="F29" s="97"/>
      <c r="G29" s="97">
        <v>0.15</v>
      </c>
      <c r="H29" s="36" t="s">
        <v>45</v>
      </c>
      <c r="I29" s="40">
        <f>P18</f>
        <v>2.5</v>
      </c>
      <c r="J29" s="41">
        <f>(I29*G29)</f>
        <v>0.375</v>
      </c>
      <c r="K29" s="42" t="s">
        <v>49</v>
      </c>
      <c r="L29" s="33"/>
      <c r="N29" s="178" t="s">
        <v>78</v>
      </c>
      <c r="O29" s="71">
        <v>10</v>
      </c>
      <c r="P29" s="34">
        <f>(Q29*O29)</f>
        <v>10.5</v>
      </c>
      <c r="Q29" s="74">
        <v>1.05</v>
      </c>
    </row>
    <row r="30" spans="2:26" ht="13.5" thickBot="1" x14ac:dyDescent="0.25">
      <c r="B30" s="50" t="s">
        <v>14</v>
      </c>
      <c r="C30" s="103"/>
      <c r="D30" s="76"/>
      <c r="E30" s="75"/>
      <c r="F30" s="75"/>
      <c r="G30" s="75"/>
      <c r="H30" s="75"/>
      <c r="I30" s="75"/>
      <c r="J30" s="57">
        <f>SUM(J25:J29)</f>
        <v>42.875</v>
      </c>
      <c r="K30" s="58"/>
      <c r="L30" s="33"/>
      <c r="Q30" s="74"/>
    </row>
    <row r="31" spans="2:26" ht="13.5" thickBot="1" x14ac:dyDescent="0.25">
      <c r="B31" s="50" t="s">
        <v>25</v>
      </c>
      <c r="C31" s="104"/>
      <c r="D31" s="76"/>
      <c r="E31" s="75"/>
      <c r="F31" s="75"/>
      <c r="G31" s="75"/>
      <c r="H31" s="75"/>
      <c r="I31" s="75"/>
      <c r="J31" s="57">
        <f>(J12+J18+J23+J30)</f>
        <v>106.11500000000001</v>
      </c>
      <c r="K31" s="58"/>
      <c r="L31" s="33"/>
    </row>
    <row r="32" spans="2:26" x14ac:dyDescent="0.2">
      <c r="B32" s="3" t="s">
        <v>26</v>
      </c>
      <c r="C32" s="91"/>
      <c r="D32" s="31"/>
      <c r="E32" s="30"/>
      <c r="F32" s="30"/>
      <c r="G32" s="30"/>
      <c r="H32" s="30"/>
      <c r="I32" s="30"/>
      <c r="J32" s="63"/>
      <c r="K32" s="32"/>
      <c r="L32" s="33"/>
    </row>
    <row r="33" spans="2:12" x14ac:dyDescent="0.2">
      <c r="B33" s="35" t="s">
        <v>27</v>
      </c>
      <c r="C33" s="95"/>
      <c r="D33" s="96"/>
      <c r="E33" s="97"/>
      <c r="F33" s="97"/>
      <c r="G33" s="97"/>
      <c r="H33" s="97"/>
      <c r="I33" s="97"/>
      <c r="J33" s="40">
        <f>J31*0.1</f>
        <v>10.611500000000001</v>
      </c>
      <c r="K33" s="42"/>
      <c r="L33" s="33"/>
    </row>
    <row r="34" spans="2:12" x14ac:dyDescent="0.2">
      <c r="B34" s="35" t="s">
        <v>28</v>
      </c>
      <c r="C34" s="95"/>
      <c r="D34" s="96"/>
      <c r="E34" s="97"/>
      <c r="F34" s="97"/>
      <c r="G34" s="97"/>
      <c r="H34" s="97"/>
      <c r="I34" s="97"/>
      <c r="J34" s="40">
        <f>P16</f>
        <v>45</v>
      </c>
      <c r="K34" s="42"/>
      <c r="L34" s="33"/>
    </row>
    <row r="35" spans="2:12" x14ac:dyDescent="0.2">
      <c r="B35" s="35" t="s">
        <v>29</v>
      </c>
      <c r="C35" s="95"/>
      <c r="D35" s="96"/>
      <c r="E35" s="97"/>
      <c r="F35" s="97"/>
      <c r="G35" s="97"/>
      <c r="H35" s="97"/>
      <c r="I35" s="97"/>
      <c r="J35" s="40">
        <f>((J31+J33+J34)*0.07)</f>
        <v>11.320855000000002</v>
      </c>
      <c r="K35" s="42"/>
      <c r="L35" s="33"/>
    </row>
    <row r="36" spans="2:12" x14ac:dyDescent="0.2">
      <c r="B36" s="105" t="s">
        <v>30</v>
      </c>
      <c r="C36" s="93"/>
      <c r="D36" s="106"/>
      <c r="E36" s="107"/>
      <c r="F36" s="107"/>
      <c r="G36" s="107"/>
      <c r="H36" s="107"/>
      <c r="I36" s="107"/>
      <c r="J36" s="108">
        <f>((J31+J33+J34)*0.03)</f>
        <v>4.8517950000000001</v>
      </c>
      <c r="K36" s="83"/>
      <c r="L36" s="33"/>
    </row>
    <row r="37" spans="2:12" ht="13.5" thickBot="1" x14ac:dyDescent="0.25">
      <c r="B37" s="109" t="s">
        <v>14</v>
      </c>
      <c r="C37" s="103"/>
      <c r="D37" s="110"/>
      <c r="E37" s="111"/>
      <c r="F37" s="111"/>
      <c r="G37" s="111"/>
      <c r="H37" s="111"/>
      <c r="I37" s="111"/>
      <c r="J37" s="112">
        <f>SUM(J33:J36)</f>
        <v>71.784149999999997</v>
      </c>
      <c r="K37" s="113"/>
      <c r="L37" s="33"/>
    </row>
    <row r="38" spans="2:12" ht="13.5" thickBot="1" x14ac:dyDescent="0.25">
      <c r="B38" s="2" t="s">
        <v>31</v>
      </c>
      <c r="C38" s="104"/>
      <c r="D38" s="76"/>
      <c r="E38" s="54"/>
      <c r="F38" s="54"/>
      <c r="G38" s="75"/>
      <c r="H38" s="75"/>
      <c r="I38" s="75"/>
      <c r="J38" s="57">
        <f>(J31+J37)</f>
        <v>177.89915000000002</v>
      </c>
      <c r="K38" s="58"/>
      <c r="L38" s="33"/>
    </row>
    <row r="39" spans="2:12" ht="13.5" thickBot="1" x14ac:dyDescent="0.25">
      <c r="B39" s="33"/>
      <c r="C39" s="33"/>
      <c r="D39" s="33"/>
      <c r="E39" s="114"/>
      <c r="F39" s="114"/>
      <c r="G39" s="33"/>
      <c r="H39" s="33"/>
      <c r="I39" s="33"/>
      <c r="J39" s="33"/>
      <c r="K39" s="33"/>
      <c r="L39" s="33"/>
    </row>
    <row r="40" spans="2:12" x14ac:dyDescent="0.2">
      <c r="B40" s="115" t="s">
        <v>32</v>
      </c>
      <c r="C40" s="116" t="s">
        <v>67</v>
      </c>
      <c r="D40" s="60"/>
      <c r="E40" s="117">
        <v>120</v>
      </c>
      <c r="F40" s="60"/>
      <c r="G40" s="118"/>
      <c r="H40" s="118"/>
      <c r="I40" s="118"/>
      <c r="J40" s="118"/>
      <c r="K40" s="32"/>
      <c r="L40" s="33"/>
    </row>
    <row r="41" spans="2:12" x14ac:dyDescent="0.2">
      <c r="B41" s="35" t="s">
        <v>33</v>
      </c>
      <c r="C41" s="119" t="s">
        <v>68</v>
      </c>
      <c r="D41" s="119"/>
      <c r="E41" s="120">
        <v>0</v>
      </c>
      <c r="F41" s="121"/>
      <c r="G41" s="33"/>
      <c r="H41" s="33"/>
      <c r="I41" s="33"/>
      <c r="J41" s="33"/>
      <c r="K41" s="83"/>
      <c r="L41" s="33"/>
    </row>
    <row r="42" spans="2:12" x14ac:dyDescent="0.2">
      <c r="B42" s="35" t="s">
        <v>34</v>
      </c>
      <c r="C42" s="119" t="s">
        <v>68</v>
      </c>
      <c r="D42" s="119"/>
      <c r="E42" s="120">
        <f>(J38-E41)</f>
        <v>177.89915000000002</v>
      </c>
      <c r="F42" s="121"/>
      <c r="G42" s="122"/>
      <c r="H42" s="122"/>
      <c r="I42" s="122"/>
      <c r="J42" s="122"/>
      <c r="K42" s="42"/>
      <c r="L42" s="33"/>
    </row>
    <row r="43" spans="2:12" x14ac:dyDescent="0.2">
      <c r="B43" s="35" t="s">
        <v>34</v>
      </c>
      <c r="C43" s="119" t="s">
        <v>35</v>
      </c>
      <c r="D43" s="119"/>
      <c r="E43" s="120">
        <f>(E42/E40)</f>
        <v>1.4824929166666669</v>
      </c>
      <c r="F43" s="121"/>
      <c r="G43" s="33"/>
      <c r="H43" s="33"/>
      <c r="I43" s="33"/>
      <c r="J43" s="33"/>
      <c r="K43" s="83"/>
      <c r="L43" s="33"/>
    </row>
    <row r="44" spans="2:12" ht="13.5" thickBot="1" x14ac:dyDescent="0.25">
      <c r="B44" s="109" t="s">
        <v>81</v>
      </c>
      <c r="C44" s="123" t="s">
        <v>35</v>
      </c>
      <c r="D44" s="123"/>
      <c r="E44" s="124">
        <f>E43*1.3</f>
        <v>1.9272407916666672</v>
      </c>
      <c r="F44" s="125"/>
      <c r="G44" s="99"/>
      <c r="H44" s="99"/>
      <c r="I44" s="99"/>
      <c r="J44" s="99"/>
      <c r="K44" s="126"/>
      <c r="L44" s="33"/>
    </row>
    <row r="45" spans="2:12" x14ac:dyDescent="0.2">
      <c r="B45" s="33"/>
      <c r="C45" s="24"/>
      <c r="D45" s="24"/>
      <c r="E45" s="127"/>
      <c r="F45" s="127"/>
      <c r="G45" s="33"/>
      <c r="H45" s="33"/>
      <c r="I45" s="33"/>
      <c r="J45" s="33"/>
      <c r="K45" s="33"/>
      <c r="L45" s="33"/>
    </row>
    <row r="46" spans="2:12" x14ac:dyDescent="0.2">
      <c r="B46" s="33"/>
      <c r="C46" s="24"/>
      <c r="D46" s="24"/>
      <c r="E46" s="127"/>
      <c r="F46" s="127"/>
      <c r="G46" s="33"/>
      <c r="H46" s="33"/>
      <c r="I46" s="33"/>
      <c r="J46" s="33"/>
      <c r="K46" s="33"/>
      <c r="L46" s="33"/>
    </row>
    <row r="47" spans="2:12" x14ac:dyDescent="0.2">
      <c r="B47" s="25" t="s">
        <v>82</v>
      </c>
      <c r="L47" s="33"/>
    </row>
    <row r="48" spans="2:12" x14ac:dyDescent="0.2">
      <c r="B48" s="25" t="s">
        <v>217</v>
      </c>
      <c r="L48" s="33"/>
    </row>
    <row r="49" spans="12:12" x14ac:dyDescent="0.2">
      <c r="L49" s="33"/>
    </row>
    <row r="71" spans="9:10" x14ac:dyDescent="0.2">
      <c r="I71" s="343"/>
      <c r="J71" s="343"/>
    </row>
    <row r="72" spans="9:10" x14ac:dyDescent="0.2">
      <c r="I72" s="332"/>
      <c r="J72" s="332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</sheetData>
  <mergeCells count="11">
    <mergeCell ref="I77:J77"/>
    <mergeCell ref="I71:J71"/>
    <mergeCell ref="I72:J72"/>
    <mergeCell ref="I73:J73"/>
    <mergeCell ref="I74:J74"/>
    <mergeCell ref="I76:J76"/>
    <mergeCell ref="B1:I1"/>
    <mergeCell ref="C3:D5"/>
    <mergeCell ref="E3:F3"/>
    <mergeCell ref="E4:F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11811023622047245"/>
  <pageSetup paperSize="9" scale="8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9"/>
  <sheetViews>
    <sheetView topLeftCell="A28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7" width="12.42578125" style="25" customWidth="1"/>
    <col min="8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9.85546875" style="25" customWidth="1"/>
    <col min="14" max="17" width="9.85546875" style="25" hidden="1" customWidth="1"/>
    <col min="18" max="20" width="9.85546875" style="25" customWidth="1"/>
    <col min="21" max="16384" width="9.140625" style="25"/>
  </cols>
  <sheetData>
    <row r="1" spans="2:16" s="19" customFormat="1" x14ac:dyDescent="0.2">
      <c r="B1" s="333" t="s">
        <v>245</v>
      </c>
      <c r="C1" s="334"/>
      <c r="D1" s="334"/>
      <c r="E1" s="334"/>
      <c r="F1" s="334"/>
      <c r="G1" s="334"/>
      <c r="H1" s="334"/>
      <c r="I1" s="334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102</v>
      </c>
      <c r="D7" s="37">
        <v>1</v>
      </c>
      <c r="E7" s="38">
        <v>0.75</v>
      </c>
      <c r="F7" s="38">
        <v>0.75</v>
      </c>
      <c r="G7" s="39">
        <v>1.7</v>
      </c>
      <c r="H7" s="36" t="s">
        <v>69</v>
      </c>
      <c r="I7" s="40">
        <f>P11</f>
        <v>4.5999999999999996</v>
      </c>
      <c r="J7" s="41">
        <f>(G7*I7)+(E7*P12)</f>
        <v>16.07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58</v>
      </c>
      <c r="D8" s="37"/>
      <c r="E8" s="38">
        <v>0.36</v>
      </c>
      <c r="F8" s="38">
        <v>0.36</v>
      </c>
      <c r="G8" s="39">
        <v>1</v>
      </c>
      <c r="H8" s="36" t="s">
        <v>69</v>
      </c>
      <c r="I8" s="40">
        <f>P11</f>
        <v>4.5999999999999996</v>
      </c>
      <c r="J8" s="41">
        <f>(I8*G8)+(P12*E8)</f>
        <v>8.5599999999999987</v>
      </c>
      <c r="K8" s="42" t="s">
        <v>39</v>
      </c>
      <c r="L8" s="33"/>
      <c r="P8" s="34"/>
    </row>
    <row r="9" spans="2:16" x14ac:dyDescent="0.2">
      <c r="B9" s="35" t="s">
        <v>12</v>
      </c>
      <c r="C9" s="36" t="s">
        <v>58</v>
      </c>
      <c r="D9" s="37">
        <v>1</v>
      </c>
      <c r="E9" s="38">
        <v>0.26</v>
      </c>
      <c r="F9" s="38">
        <v>0.26</v>
      </c>
      <c r="G9" s="39">
        <v>0.7</v>
      </c>
      <c r="H9" s="36" t="s">
        <v>69</v>
      </c>
      <c r="I9" s="40">
        <f>P11</f>
        <v>4.5999999999999996</v>
      </c>
      <c r="J9" s="41">
        <f>(I9*G9)+(P12*E9)</f>
        <v>6.08</v>
      </c>
      <c r="K9" s="42" t="s">
        <v>38</v>
      </c>
      <c r="L9" s="33"/>
      <c r="P9" s="34"/>
    </row>
    <row r="10" spans="2:16" x14ac:dyDescent="0.2">
      <c r="B10" s="35" t="s">
        <v>13</v>
      </c>
      <c r="C10" s="36" t="s">
        <v>58</v>
      </c>
      <c r="D10" s="37">
        <v>1</v>
      </c>
      <c r="E10" s="38">
        <v>0.2</v>
      </c>
      <c r="F10" s="38">
        <v>0.2</v>
      </c>
      <c r="G10" s="39">
        <v>0.7</v>
      </c>
      <c r="H10" s="36" t="s">
        <v>69</v>
      </c>
      <c r="I10" s="40">
        <f>P11</f>
        <v>4.5999999999999996</v>
      </c>
      <c r="J10" s="41">
        <f>(I10*G10)+(P11*E10)</f>
        <v>4.1399999999999997</v>
      </c>
      <c r="K10" s="42" t="s">
        <v>167</v>
      </c>
      <c r="L10" s="33"/>
      <c r="P10" s="25" t="s">
        <v>222</v>
      </c>
    </row>
    <row r="11" spans="2:16" ht="13.5" thickBot="1" x14ac:dyDescent="0.25">
      <c r="B11" s="43" t="s">
        <v>13</v>
      </c>
      <c r="C11" s="44" t="s">
        <v>58</v>
      </c>
      <c r="D11" s="45"/>
      <c r="E11" s="46">
        <v>0.2</v>
      </c>
      <c r="F11" s="46">
        <v>0.2</v>
      </c>
      <c r="G11" s="47"/>
      <c r="H11" s="44" t="s">
        <v>44</v>
      </c>
      <c r="I11" s="48">
        <f>P12</f>
        <v>11</v>
      </c>
      <c r="J11" s="41">
        <f>P12*E11</f>
        <v>2.2000000000000002</v>
      </c>
      <c r="K11" s="49" t="s">
        <v>166</v>
      </c>
      <c r="L11" s="33"/>
      <c r="N11" s="25" t="s">
        <v>87</v>
      </c>
      <c r="P11" s="34">
        <v>4.5999999999999996</v>
      </c>
    </row>
    <row r="12" spans="2:16" ht="13.5" thickBot="1" x14ac:dyDescent="0.25">
      <c r="B12" s="50" t="s">
        <v>14</v>
      </c>
      <c r="C12" s="51"/>
      <c r="D12" s="52"/>
      <c r="E12" s="53">
        <f>SUM(E7:E11)</f>
        <v>1.7699999999999998</v>
      </c>
      <c r="F12" s="54">
        <f>SUM(F7:F11)</f>
        <v>1.7699999999999998</v>
      </c>
      <c r="G12" s="55"/>
      <c r="H12" s="52"/>
      <c r="I12" s="56"/>
      <c r="J12" s="57">
        <f>SUM(J7:J11)</f>
        <v>37.050000000000004</v>
      </c>
      <c r="K12" s="58"/>
      <c r="L12" s="33"/>
      <c r="N12" s="25" t="s">
        <v>177</v>
      </c>
      <c r="P12" s="34">
        <v>11</v>
      </c>
    </row>
    <row r="13" spans="2:16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178</v>
      </c>
      <c r="P13" s="142">
        <v>7.5</v>
      </c>
    </row>
    <row r="14" spans="2:16" x14ac:dyDescent="0.2">
      <c r="B14" s="64" t="s">
        <v>16</v>
      </c>
      <c r="C14" s="65" t="s">
        <v>190</v>
      </c>
      <c r="D14" s="66">
        <v>1</v>
      </c>
      <c r="E14" s="67">
        <v>0.12</v>
      </c>
      <c r="F14" s="67">
        <v>0.12</v>
      </c>
      <c r="G14" s="68">
        <v>0.5</v>
      </c>
      <c r="H14" s="65" t="s">
        <v>69</v>
      </c>
      <c r="I14" s="69">
        <f>P11</f>
        <v>4.5999999999999996</v>
      </c>
      <c r="J14" s="41">
        <f>(P12*E14)+(G14*I14)</f>
        <v>3.6199999999999997</v>
      </c>
      <c r="K14" s="70" t="s">
        <v>42</v>
      </c>
      <c r="L14" s="33"/>
      <c r="N14" s="25" t="s">
        <v>62</v>
      </c>
      <c r="P14" s="34">
        <v>20</v>
      </c>
    </row>
    <row r="15" spans="2:16" x14ac:dyDescent="0.2">
      <c r="B15" s="35" t="s">
        <v>16</v>
      </c>
      <c r="C15" s="36" t="s">
        <v>190</v>
      </c>
      <c r="D15" s="37"/>
      <c r="E15" s="38">
        <v>0.12</v>
      </c>
      <c r="F15" s="38"/>
      <c r="G15" s="39"/>
      <c r="H15" s="36" t="s">
        <v>44</v>
      </c>
      <c r="I15" s="40">
        <f>P12</f>
        <v>11</v>
      </c>
      <c r="J15" s="40">
        <f>I15*E15</f>
        <v>1.3199999999999998</v>
      </c>
      <c r="K15" s="42" t="s">
        <v>41</v>
      </c>
      <c r="L15" s="33"/>
      <c r="N15" s="25" t="s">
        <v>21</v>
      </c>
      <c r="P15" s="34">
        <v>30</v>
      </c>
    </row>
    <row r="16" spans="2:16" x14ac:dyDescent="0.2">
      <c r="B16" s="64" t="s">
        <v>17</v>
      </c>
      <c r="C16" s="65" t="s">
        <v>58</v>
      </c>
      <c r="D16" s="66">
        <v>1</v>
      </c>
      <c r="E16" s="67">
        <v>0.15</v>
      </c>
      <c r="F16" s="67">
        <v>0.15</v>
      </c>
      <c r="G16" s="68">
        <v>0.5</v>
      </c>
      <c r="H16" s="65" t="s">
        <v>69</v>
      </c>
      <c r="I16" s="69">
        <f>P11</f>
        <v>4.5999999999999996</v>
      </c>
      <c r="J16" s="41">
        <f>(P12*E16)+(G16*I16)</f>
        <v>3.9499999999999997</v>
      </c>
      <c r="K16" s="70" t="s">
        <v>43</v>
      </c>
      <c r="L16" s="33"/>
      <c r="N16" s="25" t="s">
        <v>28</v>
      </c>
      <c r="P16" s="34">
        <v>85</v>
      </c>
    </row>
    <row r="17" spans="2:26" x14ac:dyDescent="0.2">
      <c r="B17" s="35" t="s">
        <v>17</v>
      </c>
      <c r="C17" s="36" t="s">
        <v>58</v>
      </c>
      <c r="D17" s="37"/>
      <c r="E17" s="38">
        <v>0.15</v>
      </c>
      <c r="F17" s="72"/>
      <c r="G17" s="39"/>
      <c r="H17" s="36" t="s">
        <v>44</v>
      </c>
      <c r="I17" s="40">
        <f>P12</f>
        <v>11</v>
      </c>
      <c r="J17" s="41">
        <f>(I17*E17)</f>
        <v>1.65</v>
      </c>
      <c r="K17" s="73" t="s">
        <v>41</v>
      </c>
      <c r="L17" s="33"/>
      <c r="N17" s="25" t="s">
        <v>79</v>
      </c>
      <c r="O17" s="71"/>
      <c r="P17" s="34">
        <v>1.7</v>
      </c>
      <c r="Q17" s="74"/>
    </row>
    <row r="18" spans="2:26" ht="13.5" thickBot="1" x14ac:dyDescent="0.25">
      <c r="B18" s="105" t="s">
        <v>188</v>
      </c>
      <c r="C18" s="151" t="s">
        <v>189</v>
      </c>
      <c r="D18" s="152">
        <v>2</v>
      </c>
      <c r="E18" s="38">
        <v>2</v>
      </c>
      <c r="F18" s="72">
        <v>1</v>
      </c>
      <c r="G18" s="128">
        <v>3</v>
      </c>
      <c r="H18" s="36" t="s">
        <v>69</v>
      </c>
      <c r="I18" s="129">
        <f>P11</f>
        <v>4.5999999999999996</v>
      </c>
      <c r="J18" s="41">
        <f>(I18*(F18*G18)+(E18*P12))*D18</f>
        <v>71.599999999999994</v>
      </c>
      <c r="K18" s="42" t="s">
        <v>86</v>
      </c>
      <c r="L18" s="33"/>
      <c r="O18" s="71"/>
      <c r="P18" s="34"/>
      <c r="Q18" s="74"/>
    </row>
    <row r="19" spans="2:26" ht="13.5" thickBot="1" x14ac:dyDescent="0.25">
      <c r="B19" s="50" t="s">
        <v>14</v>
      </c>
      <c r="C19" s="75"/>
      <c r="D19" s="76"/>
      <c r="E19" s="54">
        <f>SUM(E14:E17)</f>
        <v>0.54</v>
      </c>
      <c r="F19" s="54">
        <f>SUM(F14:F17)</f>
        <v>0.27</v>
      </c>
      <c r="G19" s="77"/>
      <c r="H19" s="51"/>
      <c r="I19" s="78"/>
      <c r="J19" s="57">
        <f>SUM(J14:J18)</f>
        <v>82.139999999999986</v>
      </c>
      <c r="K19" s="58"/>
      <c r="N19" s="25" t="s">
        <v>63</v>
      </c>
      <c r="P19" s="34">
        <v>2.5</v>
      </c>
    </row>
    <row r="20" spans="2:26" x14ac:dyDescent="0.2">
      <c r="B20" s="3" t="s">
        <v>18</v>
      </c>
      <c r="C20" s="30"/>
      <c r="D20" s="31"/>
      <c r="E20" s="61"/>
      <c r="F20" s="61"/>
      <c r="G20" s="62"/>
      <c r="H20" s="59"/>
      <c r="I20" s="63"/>
      <c r="J20" s="63"/>
      <c r="K20" s="32"/>
      <c r="L20" s="33"/>
      <c r="N20" s="25" t="s">
        <v>65</v>
      </c>
      <c r="P20" s="142">
        <v>35</v>
      </c>
    </row>
    <row r="21" spans="2:26" x14ac:dyDescent="0.2">
      <c r="B21" s="64" t="s">
        <v>19</v>
      </c>
      <c r="C21" s="65" t="s">
        <v>59</v>
      </c>
      <c r="D21" s="66">
        <v>1</v>
      </c>
      <c r="E21" s="67">
        <v>0.12</v>
      </c>
      <c r="F21" s="67">
        <v>0.12</v>
      </c>
      <c r="G21" s="68"/>
      <c r="H21" s="65" t="s">
        <v>69</v>
      </c>
      <c r="I21" s="69">
        <f>P14</f>
        <v>20</v>
      </c>
      <c r="J21" s="41">
        <f>(I21*D21)</f>
        <v>20</v>
      </c>
      <c r="K21" s="70" t="s">
        <v>46</v>
      </c>
      <c r="L21" s="33"/>
      <c r="N21" s="25" t="s">
        <v>95</v>
      </c>
      <c r="P21" s="34">
        <v>4</v>
      </c>
    </row>
    <row r="22" spans="2:26" x14ac:dyDescent="0.2">
      <c r="B22" s="64" t="s">
        <v>20</v>
      </c>
      <c r="C22" s="65" t="s">
        <v>59</v>
      </c>
      <c r="D22" s="79"/>
      <c r="E22" s="67">
        <v>0.12</v>
      </c>
      <c r="F22" s="67"/>
      <c r="G22" s="68"/>
      <c r="H22" s="65" t="s">
        <v>44</v>
      </c>
      <c r="I22" s="69">
        <f>P12</f>
        <v>11</v>
      </c>
      <c r="J22" s="40">
        <f>(I22*E22)</f>
        <v>1.3199999999999998</v>
      </c>
      <c r="K22" s="70" t="s">
        <v>41</v>
      </c>
      <c r="L22" s="33"/>
      <c r="N22" s="25" t="s">
        <v>96</v>
      </c>
      <c r="P22" s="34">
        <v>2.5</v>
      </c>
      <c r="Q22" s="71"/>
    </row>
    <row r="23" spans="2:26" ht="13.5" thickBot="1" x14ac:dyDescent="0.25">
      <c r="B23" s="43" t="s">
        <v>21</v>
      </c>
      <c r="C23" s="44" t="s">
        <v>59</v>
      </c>
      <c r="D23" s="80"/>
      <c r="E23" s="81">
        <v>0.05</v>
      </c>
      <c r="F23" s="81">
        <v>0.05</v>
      </c>
      <c r="G23" s="47"/>
      <c r="H23" s="44" t="s">
        <v>45</v>
      </c>
      <c r="I23" s="82">
        <f>P15/2000</f>
        <v>1.4999999999999999E-2</v>
      </c>
      <c r="J23" s="40">
        <f>I23*E42</f>
        <v>3.75</v>
      </c>
      <c r="K23" s="83" t="s">
        <v>47</v>
      </c>
      <c r="L23" s="33"/>
      <c r="O23" s="71"/>
      <c r="P23" s="33"/>
      <c r="Q23" s="24"/>
      <c r="R23" s="24"/>
      <c r="S23" s="84"/>
      <c r="T23" s="84"/>
      <c r="U23" s="33"/>
      <c r="V23" s="24"/>
      <c r="W23" s="85"/>
      <c r="X23" s="85"/>
      <c r="Y23" s="33"/>
      <c r="Z23" s="33"/>
    </row>
    <row r="24" spans="2:26" ht="13.5" thickBot="1" x14ac:dyDescent="0.25">
      <c r="B24" s="22" t="s">
        <v>14</v>
      </c>
      <c r="C24" s="75"/>
      <c r="D24" s="86"/>
      <c r="E24" s="87">
        <f>SUM(E21:E23)</f>
        <v>0.28999999999999998</v>
      </c>
      <c r="F24" s="87">
        <f>SUM(F21:F23)</f>
        <v>0.16999999999999998</v>
      </c>
      <c r="G24" s="75"/>
      <c r="H24" s="88"/>
      <c r="I24" s="89"/>
      <c r="J24" s="57">
        <f>SUM(J21:J23)</f>
        <v>25.07</v>
      </c>
      <c r="K24" s="90"/>
      <c r="L24" s="33"/>
      <c r="O24" s="71"/>
      <c r="Q24" s="71"/>
    </row>
    <row r="25" spans="2:26" x14ac:dyDescent="0.2">
      <c r="B25" s="3" t="s">
        <v>22</v>
      </c>
      <c r="C25" s="91"/>
      <c r="D25" s="31"/>
      <c r="E25" s="30"/>
      <c r="F25" s="30"/>
      <c r="G25" s="30"/>
      <c r="H25" s="59"/>
      <c r="I25" s="63"/>
      <c r="J25" s="63"/>
      <c r="K25" s="32"/>
      <c r="L25" s="33"/>
      <c r="O25" s="92"/>
      <c r="Q25" s="71"/>
    </row>
    <row r="26" spans="2:26" x14ac:dyDescent="0.2">
      <c r="B26" s="64" t="s">
        <v>23</v>
      </c>
      <c r="C26" s="93"/>
      <c r="D26" s="79"/>
      <c r="E26" s="94"/>
      <c r="F26" s="94"/>
      <c r="G26" s="68">
        <f>P22</f>
        <v>2.5</v>
      </c>
      <c r="H26" s="65" t="s">
        <v>45</v>
      </c>
      <c r="I26" s="69">
        <f>P21</f>
        <v>4</v>
      </c>
      <c r="J26" s="41">
        <f>(I26*G26)</f>
        <v>10</v>
      </c>
      <c r="K26" s="70" t="s">
        <v>77</v>
      </c>
      <c r="L26" s="33"/>
    </row>
    <row r="27" spans="2:26" x14ac:dyDescent="0.2">
      <c r="B27" s="64" t="s">
        <v>74</v>
      </c>
      <c r="C27" s="93"/>
      <c r="D27" s="79"/>
      <c r="E27" s="94"/>
      <c r="F27" s="94"/>
      <c r="G27" s="68">
        <f>O29</f>
        <v>20</v>
      </c>
      <c r="H27" s="65" t="s">
        <v>45</v>
      </c>
      <c r="I27" s="69">
        <f>Q29</f>
        <v>1.45</v>
      </c>
      <c r="J27" s="41">
        <f>(I27*G27)</f>
        <v>29</v>
      </c>
      <c r="K27" s="70" t="s">
        <v>48</v>
      </c>
      <c r="L27" s="33"/>
    </row>
    <row r="28" spans="2:26" x14ac:dyDescent="0.2">
      <c r="B28" s="64" t="s">
        <v>75</v>
      </c>
      <c r="C28" s="93"/>
      <c r="D28" s="79"/>
      <c r="E28" s="94"/>
      <c r="F28" s="94"/>
      <c r="G28" s="68">
        <f>O30</f>
        <v>25</v>
      </c>
      <c r="H28" s="65" t="s">
        <v>45</v>
      </c>
      <c r="I28" s="69">
        <f>Q30</f>
        <v>1.05</v>
      </c>
      <c r="J28" s="41">
        <f>(I28*G28)</f>
        <v>26.25</v>
      </c>
      <c r="K28" s="70" t="s">
        <v>76</v>
      </c>
      <c r="L28" s="33"/>
      <c r="O28" s="71" t="s">
        <v>84</v>
      </c>
      <c r="P28" s="71" t="s">
        <v>8</v>
      </c>
      <c r="Q28" s="71" t="s">
        <v>64</v>
      </c>
    </row>
    <row r="29" spans="2:26" x14ac:dyDescent="0.2">
      <c r="B29" s="64" t="s">
        <v>79</v>
      </c>
      <c r="C29" s="93"/>
      <c r="D29" s="66">
        <v>1</v>
      </c>
      <c r="E29" s="94"/>
      <c r="F29" s="94"/>
      <c r="G29" s="68"/>
      <c r="H29" s="65" t="s">
        <v>69</v>
      </c>
      <c r="I29" s="69">
        <f>P17</f>
        <v>1.7</v>
      </c>
      <c r="J29" s="41">
        <f>I29*D29</f>
        <v>1.7</v>
      </c>
      <c r="K29" s="70" t="s">
        <v>80</v>
      </c>
      <c r="L29" s="33"/>
      <c r="N29" s="33" t="s">
        <v>48</v>
      </c>
      <c r="O29" s="71">
        <v>20</v>
      </c>
      <c r="P29" s="34">
        <f>(Q29*O29)</f>
        <v>29</v>
      </c>
      <c r="Q29" s="74">
        <v>1.45</v>
      </c>
    </row>
    <row r="30" spans="2:26" x14ac:dyDescent="0.2">
      <c r="B30" s="35" t="s">
        <v>24</v>
      </c>
      <c r="C30" s="95"/>
      <c r="D30" s="96"/>
      <c r="E30" s="97"/>
      <c r="F30" s="97"/>
      <c r="G30" s="97">
        <v>0.25</v>
      </c>
      <c r="H30" s="36" t="s">
        <v>45</v>
      </c>
      <c r="I30" s="40">
        <f>P19</f>
        <v>2.5</v>
      </c>
      <c r="J30" s="41">
        <f>(I30*G30)</f>
        <v>0.625</v>
      </c>
      <c r="K30" s="42" t="s">
        <v>49</v>
      </c>
      <c r="L30" s="33"/>
      <c r="N30" s="178" t="s">
        <v>78</v>
      </c>
      <c r="O30" s="71">
        <v>25</v>
      </c>
      <c r="P30" s="34">
        <f>(Q30*O30)</f>
        <v>26.25</v>
      </c>
      <c r="Q30" s="74">
        <v>1.05</v>
      </c>
    </row>
    <row r="31" spans="2:26" ht="13.5" thickBot="1" x14ac:dyDescent="0.25">
      <c r="B31" s="153" t="s">
        <v>57</v>
      </c>
      <c r="C31" s="154"/>
      <c r="D31" s="45">
        <v>1</v>
      </c>
      <c r="E31" s="143"/>
      <c r="F31" s="143"/>
      <c r="G31" s="143"/>
      <c r="H31" s="44" t="s">
        <v>69</v>
      </c>
      <c r="I31" s="82">
        <f>P20</f>
        <v>35</v>
      </c>
      <c r="J31" s="82">
        <f>P20</f>
        <v>35</v>
      </c>
      <c r="K31" s="49" t="s">
        <v>88</v>
      </c>
      <c r="L31" s="33"/>
      <c r="O31" s="71"/>
      <c r="P31" s="34"/>
      <c r="Q31" s="74"/>
    </row>
    <row r="32" spans="2:26" ht="13.5" thickBot="1" x14ac:dyDescent="0.25">
      <c r="B32" s="50" t="s">
        <v>14</v>
      </c>
      <c r="C32" s="103"/>
      <c r="D32" s="76"/>
      <c r="E32" s="75"/>
      <c r="F32" s="75"/>
      <c r="G32" s="75"/>
      <c r="H32" s="75"/>
      <c r="I32" s="75"/>
      <c r="J32" s="57">
        <f>SUM(J26:J30)</f>
        <v>67.575000000000003</v>
      </c>
      <c r="K32" s="58"/>
      <c r="L32" s="33"/>
      <c r="Q32" s="74"/>
    </row>
    <row r="33" spans="2:12" ht="13.5" thickBot="1" x14ac:dyDescent="0.25">
      <c r="B33" s="50" t="s">
        <v>25</v>
      </c>
      <c r="C33" s="104"/>
      <c r="D33" s="76"/>
      <c r="E33" s="75"/>
      <c r="F33" s="75"/>
      <c r="G33" s="75"/>
      <c r="H33" s="75"/>
      <c r="I33" s="75"/>
      <c r="J33" s="57">
        <f>(J12+J19+J24+J32)</f>
        <v>211.83499999999998</v>
      </c>
      <c r="K33" s="58"/>
      <c r="L33" s="33"/>
    </row>
    <row r="34" spans="2:12" x14ac:dyDescent="0.2">
      <c r="B34" s="3" t="s">
        <v>26</v>
      </c>
      <c r="C34" s="91"/>
      <c r="D34" s="31"/>
      <c r="E34" s="30"/>
      <c r="F34" s="30"/>
      <c r="G34" s="30"/>
      <c r="H34" s="30"/>
      <c r="I34" s="30"/>
      <c r="J34" s="63"/>
      <c r="K34" s="32"/>
      <c r="L34" s="33"/>
    </row>
    <row r="35" spans="2:12" x14ac:dyDescent="0.2">
      <c r="B35" s="35" t="s">
        <v>27</v>
      </c>
      <c r="C35" s="95"/>
      <c r="D35" s="96"/>
      <c r="E35" s="97"/>
      <c r="F35" s="97"/>
      <c r="G35" s="97"/>
      <c r="H35" s="97"/>
      <c r="I35" s="97"/>
      <c r="J35" s="40">
        <f>J33*0.1</f>
        <v>21.183499999999999</v>
      </c>
      <c r="K35" s="42"/>
      <c r="L35" s="33"/>
    </row>
    <row r="36" spans="2:12" x14ac:dyDescent="0.2">
      <c r="B36" s="35" t="s">
        <v>28</v>
      </c>
      <c r="C36" s="95"/>
      <c r="D36" s="96"/>
      <c r="E36" s="97"/>
      <c r="F36" s="97"/>
      <c r="G36" s="97"/>
      <c r="H36" s="97"/>
      <c r="I36" s="97"/>
      <c r="J36" s="40">
        <f>P16</f>
        <v>85</v>
      </c>
      <c r="K36" s="42"/>
      <c r="L36" s="33"/>
    </row>
    <row r="37" spans="2:12" x14ac:dyDescent="0.2">
      <c r="B37" s="35" t="s">
        <v>29</v>
      </c>
      <c r="C37" s="95"/>
      <c r="D37" s="96"/>
      <c r="E37" s="97"/>
      <c r="F37" s="97"/>
      <c r="G37" s="97"/>
      <c r="H37" s="97"/>
      <c r="I37" s="97"/>
      <c r="J37" s="40">
        <f>((J33+J35+J36)*0.07)</f>
        <v>22.261295000000004</v>
      </c>
      <c r="K37" s="42"/>
      <c r="L37" s="33"/>
    </row>
    <row r="38" spans="2:12" x14ac:dyDescent="0.2">
      <c r="B38" s="105" t="s">
        <v>30</v>
      </c>
      <c r="C38" s="93"/>
      <c r="D38" s="106"/>
      <c r="E38" s="107"/>
      <c r="F38" s="107"/>
      <c r="G38" s="107"/>
      <c r="H38" s="107"/>
      <c r="I38" s="107"/>
      <c r="J38" s="108">
        <f>((J33+J35+J36)*0.03)</f>
        <v>9.5405549999999995</v>
      </c>
      <c r="K38" s="83"/>
      <c r="L38" s="33"/>
    </row>
    <row r="39" spans="2:12" ht="13.5" thickBot="1" x14ac:dyDescent="0.25">
      <c r="B39" s="109" t="s">
        <v>14</v>
      </c>
      <c r="C39" s="103"/>
      <c r="D39" s="110"/>
      <c r="E39" s="111"/>
      <c r="F39" s="111"/>
      <c r="G39" s="111"/>
      <c r="H39" s="111"/>
      <c r="I39" s="111"/>
      <c r="J39" s="112">
        <f>SUM(J35:J38)</f>
        <v>137.98535000000001</v>
      </c>
      <c r="K39" s="113"/>
      <c r="L39" s="33"/>
    </row>
    <row r="40" spans="2:12" ht="13.5" thickBot="1" x14ac:dyDescent="0.25">
      <c r="B40" s="2" t="s">
        <v>31</v>
      </c>
      <c r="C40" s="104"/>
      <c r="D40" s="76"/>
      <c r="E40" s="54"/>
      <c r="F40" s="54"/>
      <c r="G40" s="75"/>
      <c r="H40" s="75"/>
      <c r="I40" s="75"/>
      <c r="J40" s="57">
        <f>(J33+J39)</f>
        <v>349.82034999999996</v>
      </c>
      <c r="K40" s="58"/>
      <c r="L40" s="33"/>
    </row>
    <row r="41" spans="2:12" ht="13.5" thickBot="1" x14ac:dyDescent="0.25">
      <c r="B41" s="33"/>
      <c r="C41" s="33"/>
      <c r="D41" s="33"/>
      <c r="E41" s="114"/>
      <c r="F41" s="114"/>
      <c r="G41" s="33"/>
      <c r="H41" s="33"/>
      <c r="I41" s="33"/>
      <c r="J41" s="33"/>
      <c r="K41" s="33"/>
      <c r="L41" s="33"/>
    </row>
    <row r="42" spans="2:12" x14ac:dyDescent="0.2">
      <c r="B42" s="115" t="s">
        <v>32</v>
      </c>
      <c r="C42" s="116" t="s">
        <v>67</v>
      </c>
      <c r="D42" s="60"/>
      <c r="E42" s="117">
        <v>250</v>
      </c>
      <c r="F42" s="60"/>
      <c r="G42" s="118"/>
      <c r="H42" s="118"/>
      <c r="I42" s="118"/>
      <c r="J42" s="118"/>
      <c r="K42" s="32"/>
      <c r="L42" s="33"/>
    </row>
    <row r="43" spans="2:12" x14ac:dyDescent="0.2">
      <c r="B43" s="35" t="s">
        <v>33</v>
      </c>
      <c r="C43" s="119" t="s">
        <v>68</v>
      </c>
      <c r="D43" s="119"/>
      <c r="E43" s="120">
        <v>0</v>
      </c>
      <c r="F43" s="121"/>
      <c r="G43" s="33"/>
      <c r="H43" s="33"/>
      <c r="I43" s="33"/>
      <c r="J43" s="33"/>
      <c r="K43" s="83"/>
      <c r="L43" s="33"/>
    </row>
    <row r="44" spans="2:12" x14ac:dyDescent="0.2">
      <c r="B44" s="35" t="s">
        <v>34</v>
      </c>
      <c r="C44" s="119" t="s">
        <v>68</v>
      </c>
      <c r="D44" s="119"/>
      <c r="E44" s="120">
        <f>(J40-E43)</f>
        <v>349.82034999999996</v>
      </c>
      <c r="F44" s="121"/>
      <c r="G44" s="122"/>
      <c r="H44" s="122"/>
      <c r="I44" s="122"/>
      <c r="J44" s="122"/>
      <c r="K44" s="42"/>
      <c r="L44" s="33"/>
    </row>
    <row r="45" spans="2:12" x14ac:dyDescent="0.2">
      <c r="B45" s="35" t="s">
        <v>34</v>
      </c>
      <c r="C45" s="119" t="s">
        <v>35</v>
      </c>
      <c r="D45" s="119"/>
      <c r="E45" s="120">
        <f>(E44/E42)</f>
        <v>1.3992813999999998</v>
      </c>
      <c r="F45" s="121"/>
      <c r="G45" s="33"/>
      <c r="H45" s="33"/>
      <c r="I45" s="33"/>
      <c r="J45" s="33"/>
      <c r="K45" s="83"/>
      <c r="L45" s="33"/>
    </row>
    <row r="46" spans="2:12" ht="13.5" thickBot="1" x14ac:dyDescent="0.25">
      <c r="B46" s="109" t="s">
        <v>81</v>
      </c>
      <c r="C46" s="123" t="s">
        <v>35</v>
      </c>
      <c r="D46" s="123"/>
      <c r="E46" s="124">
        <f>E45*1.3</f>
        <v>1.8190658199999998</v>
      </c>
      <c r="F46" s="125"/>
      <c r="G46" s="99"/>
      <c r="H46" s="99"/>
      <c r="I46" s="99"/>
      <c r="J46" s="99"/>
      <c r="K46" s="126"/>
      <c r="L46" s="33"/>
    </row>
    <row r="47" spans="2:12" x14ac:dyDescent="0.2">
      <c r="B47" s="33"/>
      <c r="C47" s="24"/>
      <c r="D47" s="24"/>
      <c r="E47" s="127"/>
      <c r="F47" s="127"/>
      <c r="G47" s="33"/>
      <c r="H47" s="33"/>
      <c r="I47" s="33"/>
      <c r="J47" s="33"/>
      <c r="K47" s="33"/>
      <c r="L47" s="33"/>
    </row>
    <row r="48" spans="2:12" x14ac:dyDescent="0.2">
      <c r="B48" s="33"/>
      <c r="C48" s="24"/>
      <c r="D48" s="24"/>
      <c r="E48" s="127"/>
      <c r="F48" s="127"/>
      <c r="G48" s="33"/>
      <c r="H48" s="33"/>
      <c r="I48" s="33"/>
      <c r="J48" s="33"/>
      <c r="K48" s="33"/>
      <c r="L48" s="33"/>
    </row>
    <row r="49" spans="2:12" x14ac:dyDescent="0.2">
      <c r="B49" s="25" t="s">
        <v>82</v>
      </c>
      <c r="L49" s="33"/>
    </row>
    <row r="50" spans="2:12" x14ac:dyDescent="0.2">
      <c r="B50" s="25" t="s">
        <v>217</v>
      </c>
      <c r="L50" s="33"/>
    </row>
    <row r="51" spans="2:12" x14ac:dyDescent="0.2">
      <c r="L51" s="33"/>
    </row>
    <row r="73" spans="9:10" x14ac:dyDescent="0.2">
      <c r="I73" s="343"/>
      <c r="J73" s="343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  <row r="79" spans="9:10" x14ac:dyDescent="0.2">
      <c r="I79" s="332"/>
      <c r="J79" s="332"/>
    </row>
  </sheetData>
  <mergeCells count="11">
    <mergeCell ref="I79:J79"/>
    <mergeCell ref="I74:J74"/>
    <mergeCell ref="I75:J75"/>
    <mergeCell ref="I76:J76"/>
    <mergeCell ref="I77:J77"/>
    <mergeCell ref="I78:J78"/>
    <mergeCell ref="B1:I1"/>
    <mergeCell ref="C3:D5"/>
    <mergeCell ref="E3:F3"/>
    <mergeCell ref="E4:F4"/>
    <mergeCell ref="I73:J73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0"/>
  <sheetViews>
    <sheetView topLeftCell="A31" zoomScaleNormal="100" workbookViewId="0">
      <selection activeCell="N1" sqref="N1:P1048576"/>
    </sheetView>
  </sheetViews>
  <sheetFormatPr defaultRowHeight="12.75" x14ac:dyDescent="0.2"/>
  <cols>
    <col min="1" max="1" width="2.7109375" style="25" customWidth="1"/>
    <col min="2" max="2" width="26.42578125" style="25" customWidth="1"/>
    <col min="3" max="3" width="13.85546875" style="25" customWidth="1"/>
    <col min="4" max="4" width="4.85546875" style="25" customWidth="1"/>
    <col min="5" max="5" width="9.85546875" style="25" bestFit="1" customWidth="1"/>
    <col min="6" max="6" width="10.7109375" style="25" customWidth="1"/>
    <col min="7" max="7" width="12.5703125" style="25" customWidth="1"/>
    <col min="8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7.140625" style="25" customWidth="1"/>
    <col min="14" max="17" width="9.7109375" style="25" hidden="1" customWidth="1"/>
    <col min="18" max="18" width="9.7109375" style="25" customWidth="1"/>
    <col min="19" max="19" width="10.85546875" style="25" customWidth="1"/>
    <col min="20" max="16384" width="9.140625" style="25"/>
  </cols>
  <sheetData>
    <row r="1" spans="2:16" s="19" customFormat="1" x14ac:dyDescent="0.2">
      <c r="B1" s="333" t="s">
        <v>246</v>
      </c>
      <c r="C1" s="333"/>
      <c r="D1" s="333"/>
      <c r="E1" s="333"/>
      <c r="F1" s="333"/>
      <c r="G1" s="333"/>
      <c r="H1" s="333"/>
      <c r="I1" s="333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177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177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191</v>
      </c>
      <c r="D7" s="37">
        <v>1</v>
      </c>
      <c r="E7" s="38">
        <v>0.75</v>
      </c>
      <c r="F7" s="38">
        <v>0.75</v>
      </c>
      <c r="G7" s="39">
        <v>1.7</v>
      </c>
      <c r="H7" s="36" t="s">
        <v>69</v>
      </c>
      <c r="I7" s="40">
        <f>P12</f>
        <v>4.5999999999999996</v>
      </c>
      <c r="J7" s="41">
        <f>(G7*I7)+(E7*P13)</f>
        <v>16.07</v>
      </c>
      <c r="K7" s="42" t="s">
        <v>37</v>
      </c>
      <c r="L7" s="33"/>
      <c r="P7" s="34"/>
    </row>
    <row r="8" spans="2:16" x14ac:dyDescent="0.2">
      <c r="B8" s="35" t="s">
        <v>103</v>
      </c>
      <c r="C8" s="36" t="s">
        <v>191</v>
      </c>
      <c r="D8" s="37">
        <v>1</v>
      </c>
      <c r="E8" s="38">
        <v>0.6</v>
      </c>
      <c r="F8" s="38">
        <v>0.6</v>
      </c>
      <c r="G8" s="39">
        <v>1</v>
      </c>
      <c r="H8" s="36" t="s">
        <v>69</v>
      </c>
      <c r="I8" s="40">
        <f>P13</f>
        <v>11</v>
      </c>
      <c r="J8" s="41">
        <f>I8*(G8*F8)+(E8*P14)</f>
        <v>11.1</v>
      </c>
      <c r="K8" s="42" t="s">
        <v>37</v>
      </c>
      <c r="L8" s="33"/>
      <c r="P8" s="34"/>
    </row>
    <row r="9" spans="2:16" x14ac:dyDescent="0.2">
      <c r="B9" s="35" t="s">
        <v>11</v>
      </c>
      <c r="C9" s="36" t="s">
        <v>83</v>
      </c>
      <c r="D9" s="37"/>
      <c r="E9" s="38">
        <v>0.36</v>
      </c>
      <c r="F9" s="38">
        <v>0.36</v>
      </c>
      <c r="G9" s="39">
        <v>0.7</v>
      </c>
      <c r="H9" s="36" t="s">
        <v>69</v>
      </c>
      <c r="I9" s="40">
        <f>P13</f>
        <v>11</v>
      </c>
      <c r="J9" s="41">
        <f>(I9*G9)+(P14*E9)</f>
        <v>10.399999999999999</v>
      </c>
      <c r="K9" s="42" t="s">
        <v>39</v>
      </c>
      <c r="L9" s="33"/>
      <c r="P9" s="34"/>
    </row>
    <row r="10" spans="2:16" x14ac:dyDescent="0.2">
      <c r="B10" s="35" t="s">
        <v>12</v>
      </c>
      <c r="C10" s="36" t="s">
        <v>83</v>
      </c>
      <c r="D10" s="37">
        <v>1</v>
      </c>
      <c r="E10" s="38">
        <v>0.26</v>
      </c>
      <c r="F10" s="38">
        <v>0.26</v>
      </c>
      <c r="G10" s="39">
        <v>0.7</v>
      </c>
      <c r="H10" s="36" t="s">
        <v>69</v>
      </c>
      <c r="I10" s="40">
        <f>P12</f>
        <v>4.5999999999999996</v>
      </c>
      <c r="J10" s="41">
        <f>(I10*G10)+(P13*E10)</f>
        <v>6.08</v>
      </c>
      <c r="K10" s="42" t="s">
        <v>38</v>
      </c>
      <c r="L10" s="33"/>
      <c r="P10" s="34"/>
    </row>
    <row r="11" spans="2:16" ht="13.5" thickBot="1" x14ac:dyDescent="0.25">
      <c r="B11" s="35" t="s">
        <v>13</v>
      </c>
      <c r="C11" s="36" t="s">
        <v>58</v>
      </c>
      <c r="D11" s="37">
        <v>1</v>
      </c>
      <c r="E11" s="38">
        <v>0.2</v>
      </c>
      <c r="F11" s="38">
        <v>0.2</v>
      </c>
      <c r="G11" s="47"/>
      <c r="H11" s="36" t="s">
        <v>69</v>
      </c>
      <c r="I11" s="40">
        <f>P12</f>
        <v>4.5999999999999996</v>
      </c>
      <c r="J11" s="41">
        <f>(I11*G11)+(P12*E11)</f>
        <v>0.91999999999999993</v>
      </c>
      <c r="K11" s="42" t="s">
        <v>167</v>
      </c>
      <c r="L11" s="33"/>
      <c r="P11" s="25" t="s">
        <v>222</v>
      </c>
    </row>
    <row r="12" spans="2:16" ht="13.5" thickBot="1" x14ac:dyDescent="0.25">
      <c r="B12" s="43" t="s">
        <v>13</v>
      </c>
      <c r="C12" s="44" t="s">
        <v>58</v>
      </c>
      <c r="D12" s="45"/>
      <c r="E12" s="46">
        <v>0.2</v>
      </c>
      <c r="F12" s="46">
        <v>0.2</v>
      </c>
      <c r="G12" s="47"/>
      <c r="H12" s="44" t="s">
        <v>44</v>
      </c>
      <c r="I12" s="48">
        <f>P13</f>
        <v>11</v>
      </c>
      <c r="J12" s="41">
        <f>P13*E12</f>
        <v>2.2000000000000002</v>
      </c>
      <c r="K12" s="49" t="s">
        <v>166</v>
      </c>
      <c r="L12" s="33"/>
      <c r="N12" s="25" t="s">
        <v>87</v>
      </c>
      <c r="P12" s="34">
        <v>4.5999999999999996</v>
      </c>
    </row>
    <row r="13" spans="2:16" ht="13.5" thickBot="1" x14ac:dyDescent="0.25">
      <c r="B13" s="50" t="s">
        <v>14</v>
      </c>
      <c r="C13" s="51"/>
      <c r="D13" s="52"/>
      <c r="E13" s="53">
        <f>SUM(E7:E12)</f>
        <v>2.37</v>
      </c>
      <c r="F13" s="54">
        <f>SUM(F7:F12)</f>
        <v>2.37</v>
      </c>
      <c r="G13" s="138"/>
      <c r="H13" s="52"/>
      <c r="I13" s="56"/>
      <c r="J13" s="57">
        <f>SUM(J7:J12)</f>
        <v>46.77</v>
      </c>
      <c r="K13" s="58"/>
      <c r="L13" s="33"/>
      <c r="N13" s="25" t="s">
        <v>177</v>
      </c>
      <c r="P13" s="34">
        <v>11</v>
      </c>
    </row>
    <row r="14" spans="2:16" x14ac:dyDescent="0.2">
      <c r="B14" s="3" t="s">
        <v>15</v>
      </c>
      <c r="C14" s="59"/>
      <c r="D14" s="60"/>
      <c r="E14" s="61"/>
      <c r="F14" s="61"/>
      <c r="G14" s="139"/>
      <c r="H14" s="59"/>
      <c r="I14" s="63"/>
      <c r="J14" s="63"/>
      <c r="K14" s="32"/>
      <c r="L14" s="33"/>
      <c r="N14" s="25" t="s">
        <v>178</v>
      </c>
      <c r="P14" s="34">
        <v>7.5</v>
      </c>
    </row>
    <row r="15" spans="2:16" x14ac:dyDescent="0.2">
      <c r="B15" s="64" t="s">
        <v>16</v>
      </c>
      <c r="C15" s="65" t="s">
        <v>58</v>
      </c>
      <c r="D15" s="66">
        <v>1</v>
      </c>
      <c r="E15" s="67">
        <v>0.12</v>
      </c>
      <c r="F15" s="67">
        <v>0.12</v>
      </c>
      <c r="G15" s="140">
        <v>0.5</v>
      </c>
      <c r="H15" s="65" t="s">
        <v>69</v>
      </c>
      <c r="I15" s="69">
        <f>P12</f>
        <v>4.5999999999999996</v>
      </c>
      <c r="J15" s="41">
        <f>(P13*E15)+(G15*I15)</f>
        <v>3.6199999999999997</v>
      </c>
      <c r="K15" s="70" t="s">
        <v>42</v>
      </c>
      <c r="L15" s="33"/>
      <c r="N15" s="25" t="s">
        <v>21</v>
      </c>
      <c r="P15" s="34">
        <v>80</v>
      </c>
    </row>
    <row r="16" spans="2:16" x14ac:dyDescent="0.2">
      <c r="B16" s="35" t="s">
        <v>16</v>
      </c>
      <c r="C16" s="36" t="s">
        <v>58</v>
      </c>
      <c r="D16" s="37"/>
      <c r="E16" s="38">
        <v>0.12</v>
      </c>
      <c r="F16" s="38"/>
      <c r="G16" s="137"/>
      <c r="H16" s="36" t="s">
        <v>44</v>
      </c>
      <c r="I16" s="40">
        <f>P13</f>
        <v>11</v>
      </c>
      <c r="J16" s="40">
        <f>I16*E16</f>
        <v>1.3199999999999998</v>
      </c>
      <c r="K16" s="42" t="s">
        <v>41</v>
      </c>
      <c r="L16" s="33"/>
      <c r="N16" s="25" t="s">
        <v>28</v>
      </c>
      <c r="P16" s="34">
        <v>170</v>
      </c>
    </row>
    <row r="17" spans="2:26" x14ac:dyDescent="0.2">
      <c r="B17" s="64" t="s">
        <v>17</v>
      </c>
      <c r="C17" s="65" t="s">
        <v>101</v>
      </c>
      <c r="D17" s="66">
        <v>1</v>
      </c>
      <c r="E17" s="67">
        <v>0.15</v>
      </c>
      <c r="F17" s="67">
        <v>0.15</v>
      </c>
      <c r="G17" s="140">
        <v>0.5</v>
      </c>
      <c r="H17" s="65" t="s">
        <v>69</v>
      </c>
      <c r="I17" s="69">
        <f>P12</f>
        <v>4.5999999999999996</v>
      </c>
      <c r="J17" s="41">
        <f>(G17*I17)</f>
        <v>2.2999999999999998</v>
      </c>
      <c r="K17" s="70" t="s">
        <v>43</v>
      </c>
      <c r="L17" s="33"/>
      <c r="N17" s="25" t="s">
        <v>79</v>
      </c>
      <c r="O17" s="71"/>
      <c r="P17" s="34">
        <v>1.7</v>
      </c>
    </row>
    <row r="18" spans="2:26" x14ac:dyDescent="0.2">
      <c r="B18" s="35" t="s">
        <v>17</v>
      </c>
      <c r="C18" s="36" t="s">
        <v>101</v>
      </c>
      <c r="D18" s="37"/>
      <c r="E18" s="38">
        <v>0.15</v>
      </c>
      <c r="F18" s="72"/>
      <c r="G18" s="137"/>
      <c r="H18" s="36" t="s">
        <v>44</v>
      </c>
      <c r="I18" s="40">
        <f>P13</f>
        <v>11</v>
      </c>
      <c r="J18" s="41">
        <f>(I18*E18)</f>
        <v>1.65</v>
      </c>
      <c r="K18" s="73" t="s">
        <v>41</v>
      </c>
      <c r="L18" s="33"/>
      <c r="N18" s="25" t="s">
        <v>63</v>
      </c>
      <c r="P18" s="34">
        <v>15</v>
      </c>
      <c r="Q18" s="74"/>
    </row>
    <row r="19" spans="2:26" x14ac:dyDescent="0.2">
      <c r="B19" s="35" t="s">
        <v>85</v>
      </c>
      <c r="C19" s="36" t="s">
        <v>100</v>
      </c>
      <c r="D19" s="37">
        <v>7</v>
      </c>
      <c r="E19" s="38">
        <v>2</v>
      </c>
      <c r="F19" s="72">
        <v>1</v>
      </c>
      <c r="G19" s="141">
        <v>3</v>
      </c>
      <c r="H19" s="36" t="s">
        <v>69</v>
      </c>
      <c r="I19" s="129">
        <f>P12</f>
        <v>4.5999999999999996</v>
      </c>
      <c r="J19" s="41">
        <f>(I19*(F19*G19)+(E19*P13))*D19</f>
        <v>250.59999999999997</v>
      </c>
      <c r="K19" s="42" t="s">
        <v>86</v>
      </c>
      <c r="N19" s="25" t="s">
        <v>65</v>
      </c>
      <c r="P19" s="25">
        <v>25</v>
      </c>
    </row>
    <row r="20" spans="2:26" x14ac:dyDescent="0.2">
      <c r="B20" s="35" t="s">
        <v>192</v>
      </c>
      <c r="C20" s="36" t="s">
        <v>99</v>
      </c>
      <c r="D20" s="37">
        <v>3</v>
      </c>
      <c r="E20" s="175">
        <v>15</v>
      </c>
      <c r="F20" s="72"/>
      <c r="G20" s="141"/>
      <c r="H20" s="36" t="s">
        <v>44</v>
      </c>
      <c r="I20" s="40">
        <f>P20</f>
        <v>7.5</v>
      </c>
      <c r="J20" s="41">
        <f>D20*(I20*E20)</f>
        <v>337.5</v>
      </c>
      <c r="K20" s="42" t="s">
        <v>105</v>
      </c>
      <c r="N20" s="25" t="s">
        <v>178</v>
      </c>
      <c r="P20" s="142">
        <v>7.5</v>
      </c>
    </row>
    <row r="21" spans="2:26" ht="13.5" thickBot="1" x14ac:dyDescent="0.25">
      <c r="B21" s="43" t="s">
        <v>14</v>
      </c>
      <c r="C21" s="143"/>
      <c r="D21" s="80"/>
      <c r="E21" s="46">
        <f>SUM(E15:E20)</f>
        <v>17.54</v>
      </c>
      <c r="F21" s="46">
        <f>SUM(F15:F19)</f>
        <v>1.27</v>
      </c>
      <c r="G21" s="144"/>
      <c r="H21" s="44"/>
      <c r="I21" s="145"/>
      <c r="J21" s="82">
        <f>SUM(J15:J20)</f>
        <v>596.99</v>
      </c>
      <c r="K21" s="49"/>
      <c r="L21" s="33"/>
      <c r="N21" s="25" t="s">
        <v>95</v>
      </c>
      <c r="P21" s="34">
        <v>1.5</v>
      </c>
    </row>
    <row r="22" spans="2:26" x14ac:dyDescent="0.2">
      <c r="B22" s="3" t="s">
        <v>18</v>
      </c>
      <c r="C22" s="30"/>
      <c r="D22" s="31"/>
      <c r="E22" s="61"/>
      <c r="F22" s="61"/>
      <c r="G22" s="139"/>
      <c r="H22" s="59"/>
      <c r="I22" s="63"/>
      <c r="J22" s="63"/>
      <c r="K22" s="32"/>
      <c r="L22" s="33"/>
      <c r="N22" s="25" t="s">
        <v>96</v>
      </c>
      <c r="P22" s="34">
        <v>350</v>
      </c>
    </row>
    <row r="23" spans="2:26" x14ac:dyDescent="0.2">
      <c r="B23" s="64" t="s">
        <v>194</v>
      </c>
      <c r="C23" s="65" t="s">
        <v>193</v>
      </c>
      <c r="D23" s="66">
        <v>1</v>
      </c>
      <c r="E23" s="67">
        <v>65</v>
      </c>
      <c r="F23" s="67"/>
      <c r="G23" s="140"/>
      <c r="H23" s="65" t="s">
        <v>44</v>
      </c>
      <c r="I23" s="69">
        <f>P20</f>
        <v>7.5</v>
      </c>
      <c r="J23" s="41">
        <f>I23*E23</f>
        <v>487.5</v>
      </c>
      <c r="K23" s="70" t="s">
        <v>105</v>
      </c>
      <c r="L23" s="33"/>
      <c r="N23" s="25" t="s">
        <v>196</v>
      </c>
      <c r="O23" s="71"/>
      <c r="P23" s="148">
        <v>120</v>
      </c>
      <c r="Q23" s="71"/>
    </row>
    <row r="24" spans="2:26" x14ac:dyDescent="0.2">
      <c r="B24" s="64" t="s">
        <v>108</v>
      </c>
      <c r="C24" s="65" t="s">
        <v>193</v>
      </c>
      <c r="D24" s="79"/>
      <c r="E24" s="67">
        <v>1.25</v>
      </c>
      <c r="F24" s="67"/>
      <c r="G24" s="140"/>
      <c r="H24" s="65" t="s">
        <v>44</v>
      </c>
      <c r="I24" s="69">
        <f>P13</f>
        <v>11</v>
      </c>
      <c r="J24" s="40">
        <f>(I24*E24)</f>
        <v>13.75</v>
      </c>
      <c r="K24" s="70" t="s">
        <v>109</v>
      </c>
      <c r="L24" s="33"/>
      <c r="N24" s="25" t="s">
        <v>197</v>
      </c>
      <c r="O24" s="71"/>
      <c r="P24" s="85">
        <v>0.45</v>
      </c>
      <c r="Q24" s="177"/>
      <c r="R24" s="177"/>
      <c r="S24" s="84"/>
      <c r="T24" s="84"/>
      <c r="U24" s="33"/>
      <c r="V24" s="177"/>
      <c r="W24" s="85"/>
      <c r="X24" s="85"/>
      <c r="Y24" s="33"/>
      <c r="Z24" s="33"/>
    </row>
    <row r="25" spans="2:26" x14ac:dyDescent="0.2">
      <c r="B25" s="156" t="s">
        <v>21</v>
      </c>
      <c r="C25" s="36" t="s">
        <v>193</v>
      </c>
      <c r="D25" s="96"/>
      <c r="E25" s="38">
        <v>0.1</v>
      </c>
      <c r="F25" s="38">
        <v>0.1</v>
      </c>
      <c r="G25" s="137"/>
      <c r="H25" s="36" t="s">
        <v>69</v>
      </c>
      <c r="I25" s="155">
        <f>P15/4000</f>
        <v>0.02</v>
      </c>
      <c r="J25" s="40">
        <f>I25*E45</f>
        <v>100</v>
      </c>
      <c r="K25" s="73" t="s">
        <v>47</v>
      </c>
      <c r="L25" s="33"/>
      <c r="O25" s="71"/>
      <c r="Q25" s="71"/>
    </row>
    <row r="26" spans="2:26" ht="13.5" thickBot="1" x14ac:dyDescent="0.25">
      <c r="B26" s="105" t="s">
        <v>195</v>
      </c>
      <c r="C26" s="44"/>
      <c r="D26" s="106"/>
      <c r="E26" s="81"/>
      <c r="F26" s="81"/>
      <c r="G26" s="157">
        <f>P23</f>
        <v>120</v>
      </c>
      <c r="H26" s="177" t="s">
        <v>198</v>
      </c>
      <c r="I26" s="82">
        <f>P24</f>
        <v>0.45</v>
      </c>
      <c r="J26" s="108">
        <f>I26*G26</f>
        <v>54</v>
      </c>
      <c r="K26" s="83" t="s">
        <v>201</v>
      </c>
      <c r="L26" s="33"/>
      <c r="O26" s="71"/>
      <c r="Q26" s="71"/>
    </row>
    <row r="27" spans="2:26" ht="13.5" thickBot="1" x14ac:dyDescent="0.25">
      <c r="B27" s="22" t="s">
        <v>14</v>
      </c>
      <c r="C27" s="75"/>
      <c r="D27" s="86"/>
      <c r="E27" s="87">
        <f>SUM(E23:E25)</f>
        <v>66.349999999999994</v>
      </c>
      <c r="F27" s="87">
        <f>SUM(F23:F25)</f>
        <v>0.1</v>
      </c>
      <c r="G27" s="138"/>
      <c r="H27" s="88"/>
      <c r="I27" s="89"/>
      <c r="J27" s="57">
        <f>SUM(J23:J25)</f>
        <v>601.25</v>
      </c>
      <c r="K27" s="90"/>
      <c r="L27" s="33"/>
      <c r="O27" s="92"/>
      <c r="Q27" s="71"/>
    </row>
    <row r="28" spans="2:26" x14ac:dyDescent="0.2">
      <c r="B28" s="3" t="s">
        <v>22</v>
      </c>
      <c r="C28" s="91"/>
      <c r="D28" s="31"/>
      <c r="E28" s="30"/>
      <c r="F28" s="30"/>
      <c r="G28" s="139"/>
      <c r="H28" s="59"/>
      <c r="I28" s="63"/>
      <c r="J28" s="63"/>
      <c r="K28" s="32"/>
      <c r="L28" s="33"/>
    </row>
    <row r="29" spans="2:26" x14ac:dyDescent="0.2">
      <c r="B29" s="64" t="s">
        <v>23</v>
      </c>
      <c r="C29" s="93"/>
      <c r="D29" s="79"/>
      <c r="E29" s="94"/>
      <c r="F29" s="94"/>
      <c r="G29" s="140">
        <f>P22</f>
        <v>350</v>
      </c>
      <c r="H29" s="65" t="s">
        <v>45</v>
      </c>
      <c r="I29" s="69">
        <f>P21</f>
        <v>1.5</v>
      </c>
      <c r="J29" s="41">
        <f>(I29*G29)</f>
        <v>525</v>
      </c>
      <c r="K29" s="70" t="s">
        <v>77</v>
      </c>
      <c r="L29" s="33"/>
    </row>
    <row r="30" spans="2:26" x14ac:dyDescent="0.2">
      <c r="B30" s="64" t="s">
        <v>74</v>
      </c>
      <c r="C30" s="93"/>
      <c r="D30" s="79"/>
      <c r="E30" s="94"/>
      <c r="F30" s="94"/>
      <c r="G30" s="140">
        <v>50</v>
      </c>
      <c r="H30" s="65" t="s">
        <v>45</v>
      </c>
      <c r="I30" s="69">
        <f>Q31</f>
        <v>1.1000000000000001</v>
      </c>
      <c r="J30" s="41">
        <f>(I30*G30)</f>
        <v>55.000000000000007</v>
      </c>
      <c r="K30" s="165" t="s">
        <v>223</v>
      </c>
      <c r="L30" s="33"/>
      <c r="O30" s="71" t="s">
        <v>84</v>
      </c>
      <c r="P30" s="71" t="s">
        <v>8</v>
      </c>
      <c r="Q30" s="71" t="s">
        <v>64</v>
      </c>
    </row>
    <row r="31" spans="2:26" x14ac:dyDescent="0.2">
      <c r="B31" s="64" t="s">
        <v>75</v>
      </c>
      <c r="C31" s="93"/>
      <c r="D31" s="79"/>
      <c r="E31" s="94"/>
      <c r="F31" s="94"/>
      <c r="G31" s="140">
        <v>50</v>
      </c>
      <c r="H31" s="65" t="s">
        <v>45</v>
      </c>
      <c r="I31" s="69">
        <f>Q32</f>
        <v>1.05</v>
      </c>
      <c r="J31" s="41">
        <f>(I31*G31)</f>
        <v>52.5</v>
      </c>
      <c r="K31" s="70" t="s">
        <v>97</v>
      </c>
      <c r="L31" s="33"/>
      <c r="N31" s="33" t="s">
        <v>199</v>
      </c>
      <c r="O31" s="71">
        <v>100</v>
      </c>
      <c r="P31" s="34">
        <f>(Q31*O31)</f>
        <v>110.00000000000001</v>
      </c>
      <c r="Q31" s="74">
        <v>1.1000000000000001</v>
      </c>
    </row>
    <row r="32" spans="2:26" x14ac:dyDescent="0.2">
      <c r="B32" s="64" t="s">
        <v>79</v>
      </c>
      <c r="C32" s="93"/>
      <c r="D32" s="66">
        <v>1</v>
      </c>
      <c r="E32" s="94"/>
      <c r="F32" s="94"/>
      <c r="G32" s="140"/>
      <c r="H32" s="65" t="s">
        <v>69</v>
      </c>
      <c r="I32" s="69">
        <f>P17</f>
        <v>1.7</v>
      </c>
      <c r="J32" s="41">
        <f>P17</f>
        <v>1.7</v>
      </c>
      <c r="K32" s="70" t="s">
        <v>80</v>
      </c>
      <c r="L32" s="33"/>
      <c r="N32" s="314" t="s">
        <v>253</v>
      </c>
      <c r="O32" s="71">
        <v>20</v>
      </c>
      <c r="P32" s="34">
        <f>(Q32*O32)</f>
        <v>21</v>
      </c>
      <c r="Q32" s="74">
        <v>1.05</v>
      </c>
    </row>
    <row r="33" spans="2:17" x14ac:dyDescent="0.2">
      <c r="B33" s="35" t="s">
        <v>24</v>
      </c>
      <c r="C33" s="95"/>
      <c r="D33" s="37">
        <v>4</v>
      </c>
      <c r="E33" s="97"/>
      <c r="F33" s="97"/>
      <c r="G33" s="137">
        <v>1.5</v>
      </c>
      <c r="H33" s="36" t="s">
        <v>45</v>
      </c>
      <c r="I33" s="40">
        <f>P18</f>
        <v>15</v>
      </c>
      <c r="J33" s="41">
        <f>D33*(I33*G33)</f>
        <v>90</v>
      </c>
      <c r="K33" s="42" t="s">
        <v>49</v>
      </c>
      <c r="L33" s="33"/>
      <c r="Q33" s="74"/>
    </row>
    <row r="34" spans="2:17" ht="13.5" thickBot="1" x14ac:dyDescent="0.25">
      <c r="B34" s="98" t="s">
        <v>57</v>
      </c>
      <c r="C34" s="99"/>
      <c r="D34" s="158">
        <v>1</v>
      </c>
      <c r="E34" s="101"/>
      <c r="F34" s="101"/>
      <c r="G34" s="147"/>
      <c r="H34" s="102" t="s">
        <v>69</v>
      </c>
      <c r="I34" s="48">
        <f>P19</f>
        <v>25</v>
      </c>
      <c r="J34" s="82">
        <f>P19</f>
        <v>25</v>
      </c>
      <c r="K34" s="49" t="s">
        <v>88</v>
      </c>
      <c r="L34" s="33"/>
    </row>
    <row r="35" spans="2:17" ht="13.5" thickBot="1" x14ac:dyDescent="0.25">
      <c r="B35" s="50" t="s">
        <v>14</v>
      </c>
      <c r="C35" s="103"/>
      <c r="D35" s="76"/>
      <c r="E35" s="75"/>
      <c r="F35" s="75"/>
      <c r="G35" s="75"/>
      <c r="H35" s="75"/>
      <c r="I35" s="75"/>
      <c r="J35" s="57">
        <f>SUM(J29:J34)</f>
        <v>749.2</v>
      </c>
      <c r="K35" s="58"/>
      <c r="L35" s="33"/>
    </row>
    <row r="36" spans="2:17" ht="13.5" thickBot="1" x14ac:dyDescent="0.25">
      <c r="B36" s="50" t="s">
        <v>25</v>
      </c>
      <c r="C36" s="104"/>
      <c r="D36" s="76"/>
      <c r="E36" s="75"/>
      <c r="F36" s="75"/>
      <c r="G36" s="75"/>
      <c r="H36" s="75"/>
      <c r="I36" s="75"/>
      <c r="J36" s="57">
        <f>(J13+J21+J27+J35)</f>
        <v>1994.21</v>
      </c>
      <c r="K36" s="58"/>
      <c r="L36" s="33"/>
    </row>
    <row r="37" spans="2:17" x14ac:dyDescent="0.2">
      <c r="B37" s="3" t="s">
        <v>26</v>
      </c>
      <c r="C37" s="91"/>
      <c r="D37" s="31"/>
      <c r="E37" s="30"/>
      <c r="F37" s="30"/>
      <c r="G37" s="30"/>
      <c r="H37" s="30"/>
      <c r="I37" s="30"/>
      <c r="J37" s="63"/>
      <c r="K37" s="32"/>
      <c r="L37" s="33"/>
    </row>
    <row r="38" spans="2:17" x14ac:dyDescent="0.2">
      <c r="B38" s="35" t="s">
        <v>27</v>
      </c>
      <c r="C38" s="95"/>
      <c r="D38" s="96"/>
      <c r="E38" s="97"/>
      <c r="F38" s="97"/>
      <c r="G38" s="97"/>
      <c r="H38" s="97"/>
      <c r="I38" s="97"/>
      <c r="J38" s="40">
        <f>J36*0.1</f>
        <v>199.42100000000002</v>
      </c>
      <c r="K38" s="42"/>
      <c r="L38" s="33"/>
    </row>
    <row r="39" spans="2:17" x14ac:dyDescent="0.2">
      <c r="B39" s="35" t="s">
        <v>28</v>
      </c>
      <c r="C39" s="95"/>
      <c r="D39" s="96"/>
      <c r="E39" s="97"/>
      <c r="F39" s="97"/>
      <c r="G39" s="97"/>
      <c r="H39" s="97"/>
      <c r="I39" s="97"/>
      <c r="J39" s="40">
        <f>P16</f>
        <v>170</v>
      </c>
      <c r="K39" s="42"/>
      <c r="L39" s="33"/>
    </row>
    <row r="40" spans="2:17" x14ac:dyDescent="0.2">
      <c r="B40" s="35" t="s">
        <v>29</v>
      </c>
      <c r="C40" s="95"/>
      <c r="D40" s="96"/>
      <c r="E40" s="97"/>
      <c r="F40" s="97"/>
      <c r="G40" s="97"/>
      <c r="H40" s="97"/>
      <c r="I40" s="97"/>
      <c r="J40" s="40">
        <f>((J36+J38+J39)*0.07)</f>
        <v>165.45417</v>
      </c>
      <c r="K40" s="42"/>
      <c r="L40" s="33"/>
    </row>
    <row r="41" spans="2:17" x14ac:dyDescent="0.2">
      <c r="B41" s="105" t="s">
        <v>30</v>
      </c>
      <c r="C41" s="93"/>
      <c r="D41" s="106"/>
      <c r="E41" s="107"/>
      <c r="F41" s="107"/>
      <c r="G41" s="107"/>
      <c r="H41" s="107"/>
      <c r="I41" s="107"/>
      <c r="J41" s="108">
        <f>((J36+J38+J39)*0.03)</f>
        <v>70.908929999999998</v>
      </c>
      <c r="K41" s="83"/>
      <c r="L41" s="33"/>
    </row>
    <row r="42" spans="2:17" ht="13.5" thickBot="1" x14ac:dyDescent="0.25">
      <c r="B42" s="109" t="s">
        <v>14</v>
      </c>
      <c r="C42" s="103"/>
      <c r="D42" s="110"/>
      <c r="E42" s="111"/>
      <c r="F42" s="111"/>
      <c r="G42" s="111"/>
      <c r="H42" s="111"/>
      <c r="I42" s="111"/>
      <c r="J42" s="112">
        <f>SUM(J38:J41)</f>
        <v>605.78410000000008</v>
      </c>
      <c r="K42" s="113"/>
      <c r="L42" s="33"/>
    </row>
    <row r="43" spans="2:17" ht="13.5" thickBot="1" x14ac:dyDescent="0.25">
      <c r="B43" s="2" t="s">
        <v>31</v>
      </c>
      <c r="C43" s="104"/>
      <c r="D43" s="76"/>
      <c r="E43" s="54">
        <v>1.32</v>
      </c>
      <c r="F43" s="54">
        <v>0.81</v>
      </c>
      <c r="G43" s="75"/>
      <c r="H43" s="75"/>
      <c r="I43" s="75"/>
      <c r="J43" s="57">
        <f>(J36+J42)</f>
        <v>2599.9940999999999</v>
      </c>
      <c r="K43" s="58"/>
      <c r="L43" s="33"/>
    </row>
    <row r="44" spans="2:17" ht="13.5" thickBot="1" x14ac:dyDescent="0.25">
      <c r="B44" s="33"/>
      <c r="C44" s="33"/>
      <c r="D44" s="33"/>
      <c r="E44" s="114"/>
      <c r="F44" s="114"/>
      <c r="G44" s="33"/>
      <c r="H44" s="33"/>
      <c r="I44" s="33"/>
      <c r="J44" s="33"/>
      <c r="K44" s="33"/>
      <c r="L44" s="33"/>
    </row>
    <row r="45" spans="2:17" x14ac:dyDescent="0.2">
      <c r="B45" s="115" t="s">
        <v>32</v>
      </c>
      <c r="C45" s="116" t="s">
        <v>67</v>
      </c>
      <c r="D45" s="60"/>
      <c r="E45" s="117">
        <v>5000</v>
      </c>
      <c r="F45" s="60"/>
      <c r="G45" s="118"/>
      <c r="H45" s="118"/>
      <c r="I45" s="118"/>
      <c r="J45" s="118"/>
      <c r="K45" s="32"/>
      <c r="L45" s="33"/>
    </row>
    <row r="46" spans="2:17" x14ac:dyDescent="0.2">
      <c r="B46" s="35" t="s">
        <v>33</v>
      </c>
      <c r="C46" s="119" t="s">
        <v>68</v>
      </c>
      <c r="D46" s="119"/>
      <c r="E46" s="120">
        <v>0</v>
      </c>
      <c r="F46" s="121"/>
      <c r="G46" s="33"/>
      <c r="H46" s="33"/>
      <c r="I46" s="33"/>
      <c r="J46" s="33"/>
      <c r="K46" s="83"/>
      <c r="L46" s="33"/>
    </row>
    <row r="47" spans="2:17" x14ac:dyDescent="0.2">
      <c r="B47" s="35" t="s">
        <v>34</v>
      </c>
      <c r="C47" s="119" t="s">
        <v>68</v>
      </c>
      <c r="D47" s="119"/>
      <c r="E47" s="120">
        <f>(J43-E46)</f>
        <v>2599.9940999999999</v>
      </c>
      <c r="F47" s="121"/>
      <c r="G47" s="122"/>
      <c r="H47" s="122"/>
      <c r="I47" s="122"/>
      <c r="J47" s="122"/>
      <c r="K47" s="42"/>
      <c r="L47" s="33"/>
    </row>
    <row r="48" spans="2:17" x14ac:dyDescent="0.2">
      <c r="B48" s="35" t="s">
        <v>34</v>
      </c>
      <c r="C48" s="119" t="s">
        <v>35</v>
      </c>
      <c r="D48" s="119"/>
      <c r="E48" s="164">
        <f>(E47/E45)</f>
        <v>0.51999881999999997</v>
      </c>
      <c r="F48" s="121"/>
      <c r="G48" s="33"/>
      <c r="H48" s="33"/>
      <c r="I48" s="33"/>
      <c r="J48" s="33"/>
      <c r="K48" s="83"/>
      <c r="L48" s="33"/>
    </row>
    <row r="49" spans="2:12" ht="13.5" thickBot="1" x14ac:dyDescent="0.25">
      <c r="B49" s="109" t="s">
        <v>81</v>
      </c>
      <c r="C49" s="123" t="s">
        <v>35</v>
      </c>
      <c r="D49" s="123"/>
      <c r="E49" s="124">
        <f>E48*1.3</f>
        <v>0.67599846600000002</v>
      </c>
      <c r="F49" s="125"/>
      <c r="G49" s="99"/>
      <c r="H49" s="99"/>
      <c r="I49" s="99"/>
      <c r="J49" s="99"/>
      <c r="K49" s="126"/>
      <c r="L49" s="33"/>
    </row>
    <row r="50" spans="2:12" x14ac:dyDescent="0.2">
      <c r="B50" s="33"/>
      <c r="C50" s="177"/>
      <c r="D50" s="177"/>
      <c r="E50" s="127"/>
      <c r="F50" s="127"/>
      <c r="G50" s="33"/>
      <c r="H50" s="33"/>
      <c r="I50" s="33"/>
      <c r="J50" s="33"/>
      <c r="K50" s="33"/>
      <c r="L50" s="33"/>
    </row>
    <row r="51" spans="2:12" x14ac:dyDescent="0.2">
      <c r="C51" s="177"/>
      <c r="D51" s="177"/>
      <c r="E51" s="127"/>
      <c r="F51" s="127"/>
      <c r="G51" s="33"/>
      <c r="H51" s="33"/>
      <c r="I51" s="33"/>
      <c r="J51" s="33"/>
      <c r="K51" s="33"/>
      <c r="L51" s="33"/>
    </row>
    <row r="52" spans="2:12" x14ac:dyDescent="0.2">
      <c r="B52" s="25" t="s">
        <v>82</v>
      </c>
      <c r="L52" s="33"/>
    </row>
    <row r="53" spans="2:12" x14ac:dyDescent="0.2">
      <c r="B53" s="25" t="s">
        <v>217</v>
      </c>
    </row>
    <row r="74" spans="9:10" x14ac:dyDescent="0.2">
      <c r="I74" s="343"/>
      <c r="J74" s="343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  <row r="79" spans="9:10" x14ac:dyDescent="0.2">
      <c r="I79" s="332"/>
      <c r="J79" s="332"/>
    </row>
    <row r="80" spans="9:10" x14ac:dyDescent="0.2">
      <c r="I80" s="332"/>
      <c r="J80" s="332"/>
    </row>
  </sheetData>
  <mergeCells count="11">
    <mergeCell ref="I75:J75"/>
    <mergeCell ref="B1:I1"/>
    <mergeCell ref="C3:D5"/>
    <mergeCell ref="E3:F3"/>
    <mergeCell ref="E4:F4"/>
    <mergeCell ref="I74:J74"/>
    <mergeCell ref="I76:J76"/>
    <mergeCell ref="I77:J77"/>
    <mergeCell ref="I78:J78"/>
    <mergeCell ref="I79:J79"/>
    <mergeCell ref="I80:J8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80"/>
  <sheetViews>
    <sheetView topLeftCell="A28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6.42578125" style="25" customWidth="1"/>
    <col min="3" max="3" width="13.85546875" style="25" customWidth="1"/>
    <col min="4" max="4" width="4.85546875" style="25" customWidth="1"/>
    <col min="5" max="5" width="9.85546875" style="25" bestFit="1" customWidth="1"/>
    <col min="6" max="6" width="10.7109375" style="25" customWidth="1"/>
    <col min="7" max="7" width="12.5703125" style="25" customWidth="1"/>
    <col min="8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9.5703125" style="25" customWidth="1"/>
    <col min="14" max="17" width="9.5703125" style="25" hidden="1" customWidth="1"/>
    <col min="18" max="18" width="9.5703125" style="25" customWidth="1"/>
    <col min="19" max="16384" width="9.140625" style="25"/>
  </cols>
  <sheetData>
    <row r="1" spans="2:16" s="19" customFormat="1" x14ac:dyDescent="0.2">
      <c r="B1" s="333" t="s">
        <v>246</v>
      </c>
      <c r="C1" s="333"/>
      <c r="D1" s="333"/>
      <c r="E1" s="333"/>
      <c r="F1" s="333"/>
      <c r="G1" s="333"/>
      <c r="H1" s="333"/>
      <c r="I1" s="333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191</v>
      </c>
      <c r="D7" s="37">
        <v>1</v>
      </c>
      <c r="E7" s="38">
        <v>0.75</v>
      </c>
      <c r="F7" s="38">
        <v>0.75</v>
      </c>
      <c r="G7" s="39">
        <v>1.7</v>
      </c>
      <c r="H7" s="36" t="s">
        <v>69</v>
      </c>
      <c r="I7" s="40">
        <f>P12</f>
        <v>4.5999999999999996</v>
      </c>
      <c r="J7" s="41">
        <f>(G7*I7)+(E7*P13)</f>
        <v>16.07</v>
      </c>
      <c r="K7" s="42" t="s">
        <v>37</v>
      </c>
      <c r="L7" s="33"/>
      <c r="P7" s="34"/>
    </row>
    <row r="8" spans="2:16" x14ac:dyDescent="0.2">
      <c r="B8" s="35" t="s">
        <v>103</v>
      </c>
      <c r="C8" s="36" t="s">
        <v>191</v>
      </c>
      <c r="D8" s="37">
        <v>1</v>
      </c>
      <c r="E8" s="38">
        <v>0.6</v>
      </c>
      <c r="F8" s="38">
        <v>0.6</v>
      </c>
      <c r="G8" s="39">
        <v>1</v>
      </c>
      <c r="H8" s="36" t="s">
        <v>69</v>
      </c>
      <c r="I8" s="40">
        <f>P13</f>
        <v>11</v>
      </c>
      <c r="J8" s="41">
        <f>I8*(G8*F8)+(E8*P14)</f>
        <v>11.1</v>
      </c>
      <c r="K8" s="42" t="s">
        <v>37</v>
      </c>
      <c r="L8" s="33"/>
      <c r="P8" s="34"/>
    </row>
    <row r="9" spans="2:16" x14ac:dyDescent="0.2">
      <c r="B9" s="35" t="s">
        <v>11</v>
      </c>
      <c r="C9" s="36" t="s">
        <v>83</v>
      </c>
      <c r="D9" s="37"/>
      <c r="E9" s="38">
        <v>0.36</v>
      </c>
      <c r="F9" s="38">
        <v>0.36</v>
      </c>
      <c r="G9" s="39">
        <v>0.7</v>
      </c>
      <c r="H9" s="36" t="s">
        <v>69</v>
      </c>
      <c r="I9" s="40">
        <f>P13</f>
        <v>11</v>
      </c>
      <c r="J9" s="41">
        <f>(I9*G9)+(P14*E9)</f>
        <v>10.399999999999999</v>
      </c>
      <c r="K9" s="42" t="s">
        <v>39</v>
      </c>
      <c r="L9" s="33"/>
      <c r="P9" s="34"/>
    </row>
    <row r="10" spans="2:16" x14ac:dyDescent="0.2">
      <c r="B10" s="35" t="s">
        <v>12</v>
      </c>
      <c r="C10" s="36" t="s">
        <v>83</v>
      </c>
      <c r="D10" s="37">
        <v>1</v>
      </c>
      <c r="E10" s="38">
        <v>0.26</v>
      </c>
      <c r="F10" s="38">
        <v>0.26</v>
      </c>
      <c r="G10" s="39">
        <v>0.7</v>
      </c>
      <c r="H10" s="36" t="s">
        <v>69</v>
      </c>
      <c r="I10" s="40">
        <f>P12</f>
        <v>4.5999999999999996</v>
      </c>
      <c r="J10" s="41">
        <f>(I10*G10)+(P13*E10)</f>
        <v>6.08</v>
      </c>
      <c r="K10" s="42" t="s">
        <v>38</v>
      </c>
      <c r="L10" s="33"/>
      <c r="P10" s="34"/>
    </row>
    <row r="11" spans="2:16" ht="13.5" thickBot="1" x14ac:dyDescent="0.25">
      <c r="B11" s="35" t="s">
        <v>13</v>
      </c>
      <c r="C11" s="36" t="s">
        <v>58</v>
      </c>
      <c r="D11" s="37">
        <v>1</v>
      </c>
      <c r="E11" s="38">
        <v>0.2</v>
      </c>
      <c r="F11" s="38">
        <v>0.2</v>
      </c>
      <c r="G11" s="47"/>
      <c r="H11" s="36" t="s">
        <v>69</v>
      </c>
      <c r="I11" s="40">
        <f>P12</f>
        <v>4.5999999999999996</v>
      </c>
      <c r="J11" s="41">
        <f>(I11*G11)+(P12*E11)</f>
        <v>0.91999999999999993</v>
      </c>
      <c r="K11" s="42" t="s">
        <v>167</v>
      </c>
      <c r="L11" s="33"/>
      <c r="P11" s="25" t="s">
        <v>222</v>
      </c>
    </row>
    <row r="12" spans="2:16" ht="13.5" thickBot="1" x14ac:dyDescent="0.25">
      <c r="B12" s="43" t="s">
        <v>13</v>
      </c>
      <c r="C12" s="44" t="s">
        <v>58</v>
      </c>
      <c r="D12" s="45"/>
      <c r="E12" s="46">
        <v>0.2</v>
      </c>
      <c r="F12" s="46">
        <v>0.2</v>
      </c>
      <c r="G12" s="47"/>
      <c r="H12" s="44" t="s">
        <v>44</v>
      </c>
      <c r="I12" s="48">
        <f>P13</f>
        <v>11</v>
      </c>
      <c r="J12" s="41">
        <f>P13*E12</f>
        <v>2.2000000000000002</v>
      </c>
      <c r="K12" s="49" t="s">
        <v>166</v>
      </c>
      <c r="L12" s="33"/>
      <c r="N12" s="25" t="s">
        <v>87</v>
      </c>
      <c r="P12" s="34">
        <v>4.5999999999999996</v>
      </c>
    </row>
    <row r="13" spans="2:16" ht="13.5" thickBot="1" x14ac:dyDescent="0.25">
      <c r="B13" s="50" t="s">
        <v>14</v>
      </c>
      <c r="C13" s="51"/>
      <c r="D13" s="52"/>
      <c r="E13" s="53">
        <f>SUM(E7:E12)</f>
        <v>2.37</v>
      </c>
      <c r="F13" s="54">
        <f>SUM(F7:F12)</f>
        <v>2.37</v>
      </c>
      <c r="G13" s="138"/>
      <c r="H13" s="52"/>
      <c r="I13" s="56"/>
      <c r="J13" s="57">
        <f>SUM(J7:J12)</f>
        <v>46.77</v>
      </c>
      <c r="K13" s="58"/>
      <c r="L13" s="33"/>
      <c r="N13" s="25" t="s">
        <v>177</v>
      </c>
      <c r="P13" s="34">
        <v>11</v>
      </c>
    </row>
    <row r="14" spans="2:16" x14ac:dyDescent="0.2">
      <c r="B14" s="3" t="s">
        <v>15</v>
      </c>
      <c r="C14" s="59"/>
      <c r="D14" s="60"/>
      <c r="E14" s="61"/>
      <c r="F14" s="61"/>
      <c r="G14" s="139"/>
      <c r="H14" s="59"/>
      <c r="I14" s="63"/>
      <c r="J14" s="63"/>
      <c r="K14" s="32"/>
      <c r="L14" s="33"/>
      <c r="N14" s="25" t="s">
        <v>178</v>
      </c>
      <c r="P14" s="34">
        <v>7.5</v>
      </c>
    </row>
    <row r="15" spans="2:16" x14ac:dyDescent="0.2">
      <c r="B15" s="64" t="s">
        <v>16</v>
      </c>
      <c r="C15" s="65" t="s">
        <v>58</v>
      </c>
      <c r="D15" s="66">
        <v>1</v>
      </c>
      <c r="E15" s="67">
        <v>0.12</v>
      </c>
      <c r="F15" s="67">
        <v>0.12</v>
      </c>
      <c r="G15" s="140">
        <v>0.5</v>
      </c>
      <c r="H15" s="65" t="s">
        <v>69</v>
      </c>
      <c r="I15" s="69">
        <f>P12</f>
        <v>4.5999999999999996</v>
      </c>
      <c r="J15" s="41">
        <f>(P13*E15)+(G15*I15)</f>
        <v>3.6199999999999997</v>
      </c>
      <c r="K15" s="70" t="s">
        <v>42</v>
      </c>
      <c r="L15" s="33"/>
      <c r="N15" s="25" t="s">
        <v>21</v>
      </c>
      <c r="P15" s="34">
        <v>50</v>
      </c>
    </row>
    <row r="16" spans="2:16" x14ac:dyDescent="0.2">
      <c r="B16" s="35" t="s">
        <v>16</v>
      </c>
      <c r="C16" s="36" t="s">
        <v>58</v>
      </c>
      <c r="D16" s="37"/>
      <c r="E16" s="38">
        <v>0.12</v>
      </c>
      <c r="F16" s="38"/>
      <c r="G16" s="137"/>
      <c r="H16" s="36" t="s">
        <v>44</v>
      </c>
      <c r="I16" s="40">
        <f>P13</f>
        <v>11</v>
      </c>
      <c r="J16" s="40">
        <f>I16*E16</f>
        <v>1.3199999999999998</v>
      </c>
      <c r="K16" s="42" t="s">
        <v>41</v>
      </c>
      <c r="L16" s="33"/>
      <c r="N16" s="25" t="s">
        <v>28</v>
      </c>
      <c r="P16" s="34">
        <v>170</v>
      </c>
    </row>
    <row r="17" spans="2:26" x14ac:dyDescent="0.2">
      <c r="B17" s="64" t="s">
        <v>17</v>
      </c>
      <c r="C17" s="65" t="s">
        <v>101</v>
      </c>
      <c r="D17" s="66">
        <v>1</v>
      </c>
      <c r="E17" s="67">
        <v>0.15</v>
      </c>
      <c r="F17" s="67">
        <v>0.15</v>
      </c>
      <c r="G17" s="140">
        <v>0.5</v>
      </c>
      <c r="H17" s="65" t="s">
        <v>69</v>
      </c>
      <c r="I17" s="69">
        <f>P12</f>
        <v>4.5999999999999996</v>
      </c>
      <c r="J17" s="41">
        <f>(G17*I17)</f>
        <v>2.2999999999999998</v>
      </c>
      <c r="K17" s="70" t="s">
        <v>43</v>
      </c>
      <c r="L17" s="33"/>
      <c r="N17" s="25" t="s">
        <v>79</v>
      </c>
      <c r="O17" s="71"/>
      <c r="P17" s="34">
        <v>1.7</v>
      </c>
    </row>
    <row r="18" spans="2:26" x14ac:dyDescent="0.2">
      <c r="B18" s="35" t="s">
        <v>17</v>
      </c>
      <c r="C18" s="36" t="s">
        <v>101</v>
      </c>
      <c r="D18" s="37"/>
      <c r="E18" s="38">
        <v>0.15</v>
      </c>
      <c r="F18" s="72"/>
      <c r="G18" s="137"/>
      <c r="H18" s="36" t="s">
        <v>44</v>
      </c>
      <c r="I18" s="40">
        <f>P13</f>
        <v>11</v>
      </c>
      <c r="J18" s="41">
        <f>(I18*E18)</f>
        <v>1.65</v>
      </c>
      <c r="K18" s="73" t="s">
        <v>41</v>
      </c>
      <c r="L18" s="33"/>
      <c r="N18" s="25" t="s">
        <v>63</v>
      </c>
      <c r="P18" s="34">
        <v>10</v>
      </c>
      <c r="Q18" s="74"/>
    </row>
    <row r="19" spans="2:26" x14ac:dyDescent="0.2">
      <c r="B19" s="35" t="s">
        <v>85</v>
      </c>
      <c r="C19" s="36" t="s">
        <v>100</v>
      </c>
      <c r="D19" s="37">
        <v>4</v>
      </c>
      <c r="E19" s="38">
        <v>2</v>
      </c>
      <c r="F19" s="72">
        <v>1</v>
      </c>
      <c r="G19" s="141">
        <v>3</v>
      </c>
      <c r="H19" s="36" t="s">
        <v>69</v>
      </c>
      <c r="I19" s="129">
        <f>P12</f>
        <v>4.5999999999999996</v>
      </c>
      <c r="J19" s="41">
        <f>(I19*(F19*G19)+(E19*P13))*D19</f>
        <v>143.19999999999999</v>
      </c>
      <c r="K19" s="42" t="s">
        <v>86</v>
      </c>
      <c r="N19" s="25" t="s">
        <v>65</v>
      </c>
      <c r="P19" s="25">
        <v>25</v>
      </c>
    </row>
    <row r="20" spans="2:26" x14ac:dyDescent="0.2">
      <c r="B20" s="35" t="s">
        <v>192</v>
      </c>
      <c r="C20" s="36" t="s">
        <v>99</v>
      </c>
      <c r="D20" s="37">
        <v>3</v>
      </c>
      <c r="E20" s="175">
        <v>15</v>
      </c>
      <c r="F20" s="72"/>
      <c r="G20" s="141"/>
      <c r="H20" s="36" t="s">
        <v>44</v>
      </c>
      <c r="I20" s="40">
        <f>P20</f>
        <v>7.5</v>
      </c>
      <c r="J20" s="41">
        <f>D20*(I20*E20)</f>
        <v>337.5</v>
      </c>
      <c r="K20" s="42" t="s">
        <v>105</v>
      </c>
      <c r="N20" s="25" t="s">
        <v>178</v>
      </c>
      <c r="P20" s="142">
        <v>7.5</v>
      </c>
    </row>
    <row r="21" spans="2:26" ht="13.5" thickBot="1" x14ac:dyDescent="0.25">
      <c r="B21" s="43" t="s">
        <v>14</v>
      </c>
      <c r="C21" s="143"/>
      <c r="D21" s="80"/>
      <c r="E21" s="46">
        <f>SUM(E15:E20)</f>
        <v>17.54</v>
      </c>
      <c r="F21" s="46">
        <f>SUM(F15:F19)</f>
        <v>1.27</v>
      </c>
      <c r="G21" s="144"/>
      <c r="H21" s="44"/>
      <c r="I21" s="145"/>
      <c r="J21" s="82">
        <f>SUM(J15:J20)</f>
        <v>489.59</v>
      </c>
      <c r="K21" s="49"/>
      <c r="L21" s="33"/>
      <c r="N21" s="25" t="s">
        <v>95</v>
      </c>
      <c r="P21" s="34">
        <v>220</v>
      </c>
    </row>
    <row r="22" spans="2:26" x14ac:dyDescent="0.2">
      <c r="B22" s="3" t="s">
        <v>18</v>
      </c>
      <c r="C22" s="30"/>
      <c r="D22" s="31"/>
      <c r="E22" s="61"/>
      <c r="F22" s="61"/>
      <c r="G22" s="139"/>
      <c r="H22" s="59"/>
      <c r="I22" s="63"/>
      <c r="J22" s="63"/>
      <c r="K22" s="32"/>
      <c r="L22" s="33"/>
      <c r="N22" s="25" t="s">
        <v>96</v>
      </c>
      <c r="P22" s="34">
        <v>0.8</v>
      </c>
    </row>
    <row r="23" spans="2:26" x14ac:dyDescent="0.2">
      <c r="B23" s="64" t="s">
        <v>194</v>
      </c>
      <c r="C23" s="65" t="s">
        <v>193</v>
      </c>
      <c r="D23" s="66">
        <v>1</v>
      </c>
      <c r="E23" s="67">
        <v>65</v>
      </c>
      <c r="F23" s="67"/>
      <c r="G23" s="140"/>
      <c r="H23" s="65" t="s">
        <v>44</v>
      </c>
      <c r="I23" s="69">
        <f>P20</f>
        <v>7.5</v>
      </c>
      <c r="J23" s="41">
        <f>I23*E23</f>
        <v>487.5</v>
      </c>
      <c r="K23" s="70" t="s">
        <v>105</v>
      </c>
      <c r="L23" s="33"/>
      <c r="N23" s="25" t="s">
        <v>196</v>
      </c>
      <c r="O23" s="71"/>
      <c r="P23" s="148">
        <v>120</v>
      </c>
      <c r="Q23" s="71"/>
    </row>
    <row r="24" spans="2:26" x14ac:dyDescent="0.2">
      <c r="B24" s="64" t="s">
        <v>108</v>
      </c>
      <c r="C24" s="65" t="s">
        <v>193</v>
      </c>
      <c r="D24" s="79"/>
      <c r="E24" s="67">
        <v>1.25</v>
      </c>
      <c r="F24" s="67"/>
      <c r="G24" s="140"/>
      <c r="H24" s="65" t="s">
        <v>44</v>
      </c>
      <c r="I24" s="69">
        <f>P13</f>
        <v>11</v>
      </c>
      <c r="J24" s="40">
        <f>(I24*E24)</f>
        <v>13.75</v>
      </c>
      <c r="K24" s="70" t="s">
        <v>109</v>
      </c>
      <c r="L24" s="33"/>
      <c r="N24" s="25" t="s">
        <v>197</v>
      </c>
      <c r="O24" s="71"/>
      <c r="P24" s="85">
        <v>0.45</v>
      </c>
      <c r="Q24" s="24"/>
      <c r="R24" s="24"/>
      <c r="S24" s="84"/>
      <c r="T24" s="84"/>
      <c r="U24" s="33"/>
      <c r="V24" s="24"/>
      <c r="W24" s="85"/>
      <c r="X24" s="85"/>
      <c r="Y24" s="33"/>
      <c r="Z24" s="33"/>
    </row>
    <row r="25" spans="2:26" x14ac:dyDescent="0.2">
      <c r="B25" s="156" t="s">
        <v>21</v>
      </c>
      <c r="C25" s="36" t="s">
        <v>193</v>
      </c>
      <c r="D25" s="96"/>
      <c r="E25" s="38">
        <v>0.1</v>
      </c>
      <c r="F25" s="38">
        <v>0.1</v>
      </c>
      <c r="G25" s="137"/>
      <c r="H25" s="36" t="s">
        <v>69</v>
      </c>
      <c r="I25" s="155">
        <f>P15/4000</f>
        <v>1.2500000000000001E-2</v>
      </c>
      <c r="J25" s="40">
        <f>I25*E45</f>
        <v>56.25</v>
      </c>
      <c r="K25" s="73" t="s">
        <v>47</v>
      </c>
      <c r="L25" s="33"/>
      <c r="O25" s="71"/>
      <c r="Q25" s="71"/>
    </row>
    <row r="26" spans="2:26" ht="13.5" thickBot="1" x14ac:dyDescent="0.25">
      <c r="B26" s="105" t="s">
        <v>195</v>
      </c>
      <c r="C26" s="44"/>
      <c r="D26" s="106"/>
      <c r="E26" s="81"/>
      <c r="F26" s="81"/>
      <c r="G26" s="157">
        <f>P23</f>
        <v>120</v>
      </c>
      <c r="H26" s="24" t="s">
        <v>198</v>
      </c>
      <c r="I26" s="82">
        <f>P24</f>
        <v>0.45</v>
      </c>
      <c r="J26" s="108">
        <f>I26*G26</f>
        <v>54</v>
      </c>
      <c r="K26" s="83" t="s">
        <v>201</v>
      </c>
      <c r="L26" s="33"/>
      <c r="O26" s="71"/>
      <c r="Q26" s="71"/>
    </row>
    <row r="27" spans="2:26" ht="13.5" thickBot="1" x14ac:dyDescent="0.25">
      <c r="B27" s="22" t="s">
        <v>14</v>
      </c>
      <c r="C27" s="75"/>
      <c r="D27" s="86"/>
      <c r="E27" s="87">
        <f>SUM(E23:E25)</f>
        <v>66.349999999999994</v>
      </c>
      <c r="F27" s="87">
        <f>SUM(F23:F25)</f>
        <v>0.1</v>
      </c>
      <c r="G27" s="138"/>
      <c r="H27" s="88"/>
      <c r="I27" s="89"/>
      <c r="J27" s="57">
        <f>SUM(J23:J25)</f>
        <v>557.5</v>
      </c>
      <c r="K27" s="90"/>
      <c r="L27" s="33"/>
      <c r="O27" s="92"/>
      <c r="Q27" s="71"/>
    </row>
    <row r="28" spans="2:26" x14ac:dyDescent="0.2">
      <c r="B28" s="3" t="s">
        <v>22</v>
      </c>
      <c r="C28" s="91"/>
      <c r="D28" s="31"/>
      <c r="E28" s="30"/>
      <c r="F28" s="30"/>
      <c r="G28" s="139"/>
      <c r="H28" s="59"/>
      <c r="I28" s="63"/>
      <c r="J28" s="63"/>
      <c r="K28" s="32"/>
      <c r="L28" s="33"/>
    </row>
    <row r="29" spans="2:26" x14ac:dyDescent="0.2">
      <c r="B29" s="64" t="s">
        <v>23</v>
      </c>
      <c r="C29" s="93"/>
      <c r="D29" s="79"/>
      <c r="E29" s="94"/>
      <c r="F29" s="94"/>
      <c r="G29" s="140">
        <f>P22</f>
        <v>0.8</v>
      </c>
      <c r="H29" s="65" t="s">
        <v>45</v>
      </c>
      <c r="I29" s="69">
        <f>P21</f>
        <v>220</v>
      </c>
      <c r="J29" s="41">
        <f>(I29*G29)</f>
        <v>176</v>
      </c>
      <c r="K29" s="70" t="s">
        <v>77</v>
      </c>
      <c r="L29" s="33"/>
    </row>
    <row r="30" spans="2:26" x14ac:dyDescent="0.2">
      <c r="B30" s="64" t="s">
        <v>74</v>
      </c>
      <c r="C30" s="93"/>
      <c r="D30" s="79"/>
      <c r="E30" s="94"/>
      <c r="F30" s="94"/>
      <c r="G30" s="140">
        <v>50</v>
      </c>
      <c r="H30" s="65" t="s">
        <v>45</v>
      </c>
      <c r="I30" s="69">
        <f>Q31</f>
        <v>1.1000000000000001</v>
      </c>
      <c r="J30" s="41">
        <f>(I30*G30)</f>
        <v>55.000000000000007</v>
      </c>
      <c r="K30" s="165" t="s">
        <v>223</v>
      </c>
      <c r="L30" s="33"/>
      <c r="O30" s="71" t="s">
        <v>84</v>
      </c>
      <c r="P30" s="71" t="s">
        <v>8</v>
      </c>
      <c r="Q30" s="71" t="s">
        <v>64</v>
      </c>
    </row>
    <row r="31" spans="2:26" x14ac:dyDescent="0.2">
      <c r="B31" s="64" t="s">
        <v>75</v>
      </c>
      <c r="C31" s="93"/>
      <c r="D31" s="79"/>
      <c r="E31" s="94"/>
      <c r="F31" s="94"/>
      <c r="G31" s="140">
        <v>50</v>
      </c>
      <c r="H31" s="65" t="s">
        <v>45</v>
      </c>
      <c r="I31" s="69">
        <f>Q32</f>
        <v>1.04</v>
      </c>
      <c r="J31" s="41">
        <f>(I31*G31)</f>
        <v>52</v>
      </c>
      <c r="K31" s="70" t="s">
        <v>97</v>
      </c>
      <c r="L31" s="33"/>
      <c r="N31" s="33" t="s">
        <v>199</v>
      </c>
      <c r="O31" s="71">
        <v>40</v>
      </c>
      <c r="P31" s="34">
        <f>(Q31*O31)</f>
        <v>44</v>
      </c>
      <c r="Q31" s="74">
        <v>1.1000000000000001</v>
      </c>
    </row>
    <row r="32" spans="2:26" x14ac:dyDescent="0.2">
      <c r="B32" s="64" t="s">
        <v>79</v>
      </c>
      <c r="C32" s="93"/>
      <c r="D32" s="66">
        <v>1</v>
      </c>
      <c r="E32" s="94"/>
      <c r="F32" s="94"/>
      <c r="G32" s="140"/>
      <c r="H32" s="65" t="s">
        <v>69</v>
      </c>
      <c r="I32" s="69">
        <f>P17</f>
        <v>1.7</v>
      </c>
      <c r="J32" s="41">
        <f>P17</f>
        <v>1.7</v>
      </c>
      <c r="K32" s="70" t="s">
        <v>80</v>
      </c>
      <c r="L32" s="33"/>
      <c r="N32" s="25" t="s">
        <v>200</v>
      </c>
      <c r="O32" s="71">
        <v>40</v>
      </c>
      <c r="P32" s="34">
        <f>(Q32*O32)</f>
        <v>41.6</v>
      </c>
      <c r="Q32" s="74">
        <v>1.04</v>
      </c>
    </row>
    <row r="33" spans="2:17" x14ac:dyDescent="0.2">
      <c r="B33" s="35" t="s">
        <v>24</v>
      </c>
      <c r="C33" s="95"/>
      <c r="D33" s="37">
        <v>4</v>
      </c>
      <c r="E33" s="97"/>
      <c r="F33" s="97"/>
      <c r="G33" s="137">
        <v>1.5</v>
      </c>
      <c r="H33" s="36" t="s">
        <v>45</v>
      </c>
      <c r="I33" s="40">
        <f>P18</f>
        <v>10</v>
      </c>
      <c r="J33" s="41">
        <f>D33*(I33*G33)</f>
        <v>60</v>
      </c>
      <c r="K33" s="42" t="s">
        <v>49</v>
      </c>
      <c r="L33" s="33"/>
      <c r="Q33" s="74"/>
    </row>
    <row r="34" spans="2:17" ht="13.5" thickBot="1" x14ac:dyDescent="0.25">
      <c r="B34" s="98" t="s">
        <v>57</v>
      </c>
      <c r="C34" s="99"/>
      <c r="D34" s="158">
        <v>1</v>
      </c>
      <c r="E34" s="101"/>
      <c r="F34" s="101"/>
      <c r="G34" s="147"/>
      <c r="H34" s="102" t="s">
        <v>69</v>
      </c>
      <c r="I34" s="48">
        <f>P19</f>
        <v>25</v>
      </c>
      <c r="J34" s="82">
        <f>P19</f>
        <v>25</v>
      </c>
      <c r="K34" s="49" t="s">
        <v>88</v>
      </c>
      <c r="L34" s="33"/>
    </row>
    <row r="35" spans="2:17" ht="13.5" thickBot="1" x14ac:dyDescent="0.25">
      <c r="B35" s="50" t="s">
        <v>14</v>
      </c>
      <c r="C35" s="103"/>
      <c r="D35" s="76"/>
      <c r="E35" s="75"/>
      <c r="F35" s="75"/>
      <c r="G35" s="75"/>
      <c r="H35" s="75"/>
      <c r="I35" s="75"/>
      <c r="J35" s="57">
        <f>SUM(J29:J34)</f>
        <v>369.7</v>
      </c>
      <c r="K35" s="58"/>
      <c r="L35" s="33"/>
    </row>
    <row r="36" spans="2:17" ht="13.5" thickBot="1" x14ac:dyDescent="0.25">
      <c r="B36" s="50" t="s">
        <v>25</v>
      </c>
      <c r="C36" s="104"/>
      <c r="D36" s="76"/>
      <c r="E36" s="75"/>
      <c r="F36" s="75"/>
      <c r="G36" s="75"/>
      <c r="H36" s="75"/>
      <c r="I36" s="75"/>
      <c r="J36" s="57">
        <f>(J13+J21+J27+J35)</f>
        <v>1463.5600000000002</v>
      </c>
      <c r="K36" s="58"/>
      <c r="L36" s="33"/>
    </row>
    <row r="37" spans="2:17" x14ac:dyDescent="0.2">
      <c r="B37" s="3" t="s">
        <v>26</v>
      </c>
      <c r="C37" s="91"/>
      <c r="D37" s="31"/>
      <c r="E37" s="30"/>
      <c r="F37" s="30"/>
      <c r="G37" s="30"/>
      <c r="H37" s="30"/>
      <c r="I37" s="30"/>
      <c r="J37" s="63"/>
      <c r="K37" s="32"/>
      <c r="L37" s="33"/>
    </row>
    <row r="38" spans="2:17" x14ac:dyDescent="0.2">
      <c r="B38" s="35" t="s">
        <v>27</v>
      </c>
      <c r="C38" s="95"/>
      <c r="D38" s="96"/>
      <c r="E38" s="97"/>
      <c r="F38" s="97"/>
      <c r="G38" s="97"/>
      <c r="H38" s="97"/>
      <c r="I38" s="97"/>
      <c r="J38" s="40">
        <f>J36*0.1</f>
        <v>146.35600000000002</v>
      </c>
      <c r="K38" s="42"/>
      <c r="L38" s="33"/>
    </row>
    <row r="39" spans="2:17" x14ac:dyDescent="0.2">
      <c r="B39" s="35" t="s">
        <v>28</v>
      </c>
      <c r="C39" s="95"/>
      <c r="D39" s="96"/>
      <c r="E39" s="97"/>
      <c r="F39" s="97"/>
      <c r="G39" s="97"/>
      <c r="H39" s="97"/>
      <c r="I39" s="97"/>
      <c r="J39" s="40">
        <f>P16</f>
        <v>170</v>
      </c>
      <c r="K39" s="42"/>
      <c r="L39" s="33"/>
    </row>
    <row r="40" spans="2:17" x14ac:dyDescent="0.2">
      <c r="B40" s="35" t="s">
        <v>29</v>
      </c>
      <c r="C40" s="95"/>
      <c r="D40" s="96"/>
      <c r="E40" s="97"/>
      <c r="F40" s="97"/>
      <c r="G40" s="97"/>
      <c r="H40" s="97"/>
      <c r="I40" s="97"/>
      <c r="J40" s="40">
        <f>((J36+J38+J39)*0.07)</f>
        <v>124.59412000000002</v>
      </c>
      <c r="K40" s="42"/>
      <c r="L40" s="33"/>
    </row>
    <row r="41" spans="2:17" x14ac:dyDescent="0.2">
      <c r="B41" s="105" t="s">
        <v>30</v>
      </c>
      <c r="C41" s="93"/>
      <c r="D41" s="106"/>
      <c r="E41" s="107"/>
      <c r="F41" s="107"/>
      <c r="G41" s="107"/>
      <c r="H41" s="107"/>
      <c r="I41" s="107"/>
      <c r="J41" s="108">
        <f>((J36+J38+J39)*0.03)</f>
        <v>53.397480000000002</v>
      </c>
      <c r="K41" s="83"/>
      <c r="L41" s="33"/>
    </row>
    <row r="42" spans="2:17" ht="13.5" thickBot="1" x14ac:dyDescent="0.25">
      <c r="B42" s="109" t="s">
        <v>14</v>
      </c>
      <c r="C42" s="103"/>
      <c r="D42" s="110"/>
      <c r="E42" s="111"/>
      <c r="F42" s="111"/>
      <c r="G42" s="111"/>
      <c r="H42" s="111"/>
      <c r="I42" s="111"/>
      <c r="J42" s="112">
        <f>SUM(J38:J41)</f>
        <v>494.34760000000006</v>
      </c>
      <c r="K42" s="113"/>
      <c r="L42" s="33"/>
    </row>
    <row r="43" spans="2:17" ht="13.5" thickBot="1" x14ac:dyDescent="0.25">
      <c r="B43" s="2" t="s">
        <v>31</v>
      </c>
      <c r="C43" s="104"/>
      <c r="D43" s="76"/>
      <c r="E43" s="54">
        <v>1.32</v>
      </c>
      <c r="F43" s="54">
        <v>0.81</v>
      </c>
      <c r="G43" s="75"/>
      <c r="H43" s="75"/>
      <c r="I43" s="75"/>
      <c r="J43" s="57">
        <f>(J36+J42)</f>
        <v>1957.9076000000002</v>
      </c>
      <c r="K43" s="58"/>
      <c r="L43" s="33"/>
    </row>
    <row r="44" spans="2:17" ht="13.5" thickBot="1" x14ac:dyDescent="0.25">
      <c r="B44" s="33"/>
      <c r="C44" s="33"/>
      <c r="D44" s="33"/>
      <c r="E44" s="114"/>
      <c r="F44" s="114"/>
      <c r="G44" s="33"/>
      <c r="H44" s="33"/>
      <c r="I44" s="33"/>
      <c r="J44" s="33"/>
      <c r="K44" s="33"/>
      <c r="L44" s="33"/>
    </row>
    <row r="45" spans="2:17" x14ac:dyDescent="0.2">
      <c r="B45" s="115" t="s">
        <v>32</v>
      </c>
      <c r="C45" s="116" t="s">
        <v>67</v>
      </c>
      <c r="D45" s="60"/>
      <c r="E45" s="117">
        <v>4500</v>
      </c>
      <c r="F45" s="60"/>
      <c r="G45" s="118"/>
      <c r="H45" s="118"/>
      <c r="I45" s="118"/>
      <c r="J45" s="118"/>
      <c r="K45" s="32"/>
      <c r="L45" s="33"/>
    </row>
    <row r="46" spans="2:17" x14ac:dyDescent="0.2">
      <c r="B46" s="35" t="s">
        <v>33</v>
      </c>
      <c r="C46" s="119" t="s">
        <v>68</v>
      </c>
      <c r="D46" s="119"/>
      <c r="E46" s="120">
        <v>0</v>
      </c>
      <c r="F46" s="121"/>
      <c r="G46" s="33"/>
      <c r="H46" s="33"/>
      <c r="I46" s="33"/>
      <c r="J46" s="33"/>
      <c r="K46" s="83"/>
      <c r="L46" s="33"/>
    </row>
    <row r="47" spans="2:17" x14ac:dyDescent="0.2">
      <c r="B47" s="35" t="s">
        <v>34</v>
      </c>
      <c r="C47" s="119" t="s">
        <v>68</v>
      </c>
      <c r="D47" s="119"/>
      <c r="E47" s="120">
        <f>(J43-E46)</f>
        <v>1957.9076000000002</v>
      </c>
      <c r="F47" s="121"/>
      <c r="G47" s="122"/>
      <c r="H47" s="122"/>
      <c r="I47" s="122"/>
      <c r="J47" s="122"/>
      <c r="K47" s="42"/>
      <c r="L47" s="33"/>
    </row>
    <row r="48" spans="2:17" x14ac:dyDescent="0.2">
      <c r="B48" s="35" t="s">
        <v>34</v>
      </c>
      <c r="C48" s="119" t="s">
        <v>35</v>
      </c>
      <c r="D48" s="119"/>
      <c r="E48" s="164">
        <f>(E47/E45)</f>
        <v>0.43509057777777782</v>
      </c>
      <c r="F48" s="121"/>
      <c r="G48" s="33"/>
      <c r="H48" s="33"/>
      <c r="I48" s="33"/>
      <c r="J48" s="33"/>
      <c r="K48" s="83"/>
      <c r="L48" s="33"/>
    </row>
    <row r="49" spans="2:12" ht="13.5" thickBot="1" x14ac:dyDescent="0.25">
      <c r="B49" s="109" t="s">
        <v>81</v>
      </c>
      <c r="C49" s="123" t="s">
        <v>35</v>
      </c>
      <c r="D49" s="123"/>
      <c r="E49" s="124">
        <f>E48*1.3</f>
        <v>0.56561775111111123</v>
      </c>
      <c r="F49" s="125"/>
      <c r="G49" s="99"/>
      <c r="H49" s="99"/>
      <c r="I49" s="99"/>
      <c r="J49" s="99"/>
      <c r="K49" s="126"/>
      <c r="L49" s="33"/>
    </row>
    <row r="50" spans="2:12" x14ac:dyDescent="0.2">
      <c r="B50" s="33"/>
      <c r="C50" s="24"/>
      <c r="D50" s="24"/>
      <c r="E50" s="127"/>
      <c r="F50" s="127"/>
      <c r="G50" s="33"/>
      <c r="H50" s="33"/>
      <c r="I50" s="33"/>
      <c r="J50" s="33"/>
      <c r="K50" s="33"/>
      <c r="L50" s="33"/>
    </row>
    <row r="51" spans="2:12" x14ac:dyDescent="0.2">
      <c r="C51" s="24"/>
      <c r="D51" s="24"/>
      <c r="E51" s="127"/>
      <c r="F51" s="127"/>
      <c r="G51" s="33"/>
      <c r="H51" s="33"/>
      <c r="I51" s="33"/>
      <c r="J51" s="33"/>
      <c r="K51" s="33"/>
      <c r="L51" s="33"/>
    </row>
    <row r="52" spans="2:12" x14ac:dyDescent="0.2">
      <c r="B52" s="25" t="s">
        <v>82</v>
      </c>
      <c r="L52" s="33"/>
    </row>
    <row r="53" spans="2:12" x14ac:dyDescent="0.2">
      <c r="B53" s="25" t="s">
        <v>217</v>
      </c>
    </row>
    <row r="74" spans="9:10" x14ac:dyDescent="0.2">
      <c r="I74" s="343"/>
      <c r="J74" s="343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  <row r="79" spans="9:10" x14ac:dyDescent="0.2">
      <c r="I79" s="332"/>
      <c r="J79" s="332"/>
    </row>
    <row r="80" spans="9:10" x14ac:dyDescent="0.2">
      <c r="I80" s="332"/>
      <c r="J80" s="332"/>
    </row>
  </sheetData>
  <mergeCells count="11">
    <mergeCell ref="I80:J80"/>
    <mergeCell ref="I78:J78"/>
    <mergeCell ref="I79:J79"/>
    <mergeCell ref="I74:J74"/>
    <mergeCell ref="I75:J75"/>
    <mergeCell ref="I76:J76"/>
    <mergeCell ref="B1:I1"/>
    <mergeCell ref="C3:D5"/>
    <mergeCell ref="E3:F3"/>
    <mergeCell ref="E4:F4"/>
    <mergeCell ref="I77:J77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7"/>
  <sheetViews>
    <sheetView topLeftCell="A25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85546875" style="25" bestFit="1" customWidth="1"/>
    <col min="6" max="6" width="10.7109375" style="25" customWidth="1"/>
    <col min="7" max="7" width="26.28515625" style="25" customWidth="1"/>
    <col min="8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10.7109375" style="25" customWidth="1"/>
    <col min="14" max="17" width="10.7109375" style="25" hidden="1" customWidth="1"/>
    <col min="18" max="21" width="10.7109375" style="25" customWidth="1"/>
    <col min="22" max="16384" width="9.140625" style="25"/>
  </cols>
  <sheetData>
    <row r="1" spans="2:17" s="19" customFormat="1" x14ac:dyDescent="0.2">
      <c r="B1" s="333" t="s">
        <v>233</v>
      </c>
      <c r="C1" s="333"/>
      <c r="D1" s="333"/>
      <c r="E1" s="333"/>
      <c r="F1" s="333"/>
      <c r="G1" s="333"/>
      <c r="H1" s="333"/>
      <c r="I1" s="333"/>
      <c r="J1" s="333"/>
      <c r="K1" s="333"/>
    </row>
    <row r="2" spans="2:17" s="19" customFormat="1" ht="13.5" thickBot="1" x14ac:dyDescent="0.25"/>
    <row r="3" spans="2:17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7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7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7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7" x14ac:dyDescent="0.2">
      <c r="B7" s="35" t="s">
        <v>56</v>
      </c>
      <c r="C7" s="36" t="s">
        <v>59</v>
      </c>
      <c r="D7" s="37">
        <v>1</v>
      </c>
      <c r="E7" s="38">
        <v>0.24</v>
      </c>
      <c r="F7" s="38">
        <v>0.24</v>
      </c>
      <c r="G7" s="39">
        <v>1.7</v>
      </c>
      <c r="H7" s="36" t="s">
        <v>69</v>
      </c>
      <c r="I7" s="40">
        <f>P11</f>
        <v>4.08</v>
      </c>
      <c r="J7" s="41">
        <f>(G7*I7)+(E7*P12)</f>
        <v>9.3360000000000003</v>
      </c>
      <c r="K7" s="42" t="s">
        <v>37</v>
      </c>
      <c r="L7" s="33"/>
      <c r="P7" s="34"/>
    </row>
    <row r="8" spans="2:17" x14ac:dyDescent="0.2">
      <c r="B8" s="35" t="s">
        <v>11</v>
      </c>
      <c r="C8" s="36" t="s">
        <v>83</v>
      </c>
      <c r="D8" s="37"/>
      <c r="E8" s="38">
        <v>0.12</v>
      </c>
      <c r="F8" s="38">
        <v>0.12</v>
      </c>
      <c r="G8" s="39">
        <v>1</v>
      </c>
      <c r="H8" s="36" t="s">
        <v>69</v>
      </c>
      <c r="I8" s="40">
        <f>P11</f>
        <v>4.08</v>
      </c>
      <c r="J8" s="41">
        <f>(I8*G8)+(P12*E8)</f>
        <v>5.28</v>
      </c>
      <c r="K8" s="42" t="s">
        <v>39</v>
      </c>
      <c r="L8" s="33"/>
      <c r="P8" s="34"/>
    </row>
    <row r="9" spans="2:17" x14ac:dyDescent="0.2">
      <c r="B9" s="35" t="s">
        <v>12</v>
      </c>
      <c r="C9" s="36" t="s">
        <v>83</v>
      </c>
      <c r="D9" s="37">
        <v>1</v>
      </c>
      <c r="E9" s="38">
        <v>0.12</v>
      </c>
      <c r="F9" s="38">
        <v>0.12</v>
      </c>
      <c r="G9" s="39">
        <v>0.7</v>
      </c>
      <c r="H9" s="36" t="s">
        <v>69</v>
      </c>
      <c r="I9" s="40">
        <f>P11</f>
        <v>4.08</v>
      </c>
      <c r="J9" s="41">
        <f>(I9*G9)+(P12*E9)</f>
        <v>4.056</v>
      </c>
      <c r="K9" s="42" t="s">
        <v>38</v>
      </c>
      <c r="L9" s="33"/>
      <c r="P9" s="34"/>
    </row>
    <row r="10" spans="2:17" x14ac:dyDescent="0.2">
      <c r="B10" s="35" t="s">
        <v>13</v>
      </c>
      <c r="C10" s="36" t="s">
        <v>83</v>
      </c>
      <c r="D10" s="37">
        <v>1</v>
      </c>
      <c r="E10" s="38">
        <v>0.1</v>
      </c>
      <c r="F10" s="38">
        <v>0.1</v>
      </c>
      <c r="G10" s="39">
        <v>0.7</v>
      </c>
      <c r="H10" s="36" t="s">
        <v>69</v>
      </c>
      <c r="I10" s="40">
        <f>P11</f>
        <v>4.08</v>
      </c>
      <c r="J10" s="41">
        <f>(I10*G10)+(P11*E10)</f>
        <v>3.2639999999999998</v>
      </c>
      <c r="K10" s="42" t="s">
        <v>167</v>
      </c>
      <c r="L10" s="33"/>
      <c r="P10" s="25" t="s">
        <v>221</v>
      </c>
      <c r="Q10" s="25" t="s">
        <v>222</v>
      </c>
    </row>
    <row r="11" spans="2:17" ht="13.5" thickBot="1" x14ac:dyDescent="0.25">
      <c r="B11" s="43" t="s">
        <v>13</v>
      </c>
      <c r="C11" s="44" t="s">
        <v>83</v>
      </c>
      <c r="D11" s="45"/>
      <c r="E11" s="46">
        <v>0.1</v>
      </c>
      <c r="F11" s="46"/>
      <c r="G11" s="47"/>
      <c r="H11" s="44" t="s">
        <v>44</v>
      </c>
      <c r="I11" s="48">
        <f>P12</f>
        <v>10</v>
      </c>
      <c r="J11" s="41">
        <f>P12*E11</f>
        <v>1</v>
      </c>
      <c r="K11" s="49" t="s">
        <v>166</v>
      </c>
      <c r="L11" s="33"/>
      <c r="N11" s="25" t="s">
        <v>87</v>
      </c>
      <c r="P11" s="176">
        <v>4.08</v>
      </c>
      <c r="Q11" s="176">
        <v>4.5999999999999996</v>
      </c>
    </row>
    <row r="12" spans="2:17" ht="13.5" thickBot="1" x14ac:dyDescent="0.25">
      <c r="B12" s="50" t="s">
        <v>14</v>
      </c>
      <c r="C12" s="51"/>
      <c r="D12" s="52"/>
      <c r="E12" s="53">
        <f>SUM(E7:E11)</f>
        <v>0.67999999999999994</v>
      </c>
      <c r="F12" s="54">
        <f>SUM(F7:F11)</f>
        <v>0.57999999999999996</v>
      </c>
      <c r="G12" s="55"/>
      <c r="H12" s="52"/>
      <c r="I12" s="56"/>
      <c r="J12" s="57">
        <f>SUM(J7:J11)</f>
        <v>22.936</v>
      </c>
      <c r="K12" s="58"/>
      <c r="L12" s="33"/>
      <c r="N12" s="25" t="s">
        <v>177</v>
      </c>
      <c r="P12" s="34">
        <f>'Arpa K'!P12</f>
        <v>10</v>
      </c>
    </row>
    <row r="13" spans="2:17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62</v>
      </c>
      <c r="P13" s="34">
        <f>'Arpa K'!P13</f>
        <v>14</v>
      </c>
    </row>
    <row r="14" spans="2:17" x14ac:dyDescent="0.2">
      <c r="B14" s="64" t="s">
        <v>16</v>
      </c>
      <c r="C14" s="65" t="s">
        <v>58</v>
      </c>
      <c r="D14" s="66">
        <v>1</v>
      </c>
      <c r="E14" s="67">
        <v>0.09</v>
      </c>
      <c r="F14" s="67">
        <v>0.09</v>
      </c>
      <c r="G14" s="68">
        <v>0.3</v>
      </c>
      <c r="H14" s="65" t="s">
        <v>69</v>
      </c>
      <c r="I14" s="69">
        <f>Q11</f>
        <v>4.5999999999999996</v>
      </c>
      <c r="J14" s="41">
        <f>(P12*E14)+(G14*I14)</f>
        <v>2.2799999999999998</v>
      </c>
      <c r="K14" s="70" t="s">
        <v>42</v>
      </c>
      <c r="L14" s="33"/>
      <c r="N14" s="25" t="s">
        <v>21</v>
      </c>
      <c r="P14" s="34">
        <f>'Arpa K'!P14</f>
        <v>35</v>
      </c>
    </row>
    <row r="15" spans="2:17" x14ac:dyDescent="0.2">
      <c r="B15" s="35" t="s">
        <v>16</v>
      </c>
      <c r="C15" s="36" t="s">
        <v>58</v>
      </c>
      <c r="D15" s="37"/>
      <c r="E15" s="38">
        <v>0.09</v>
      </c>
      <c r="F15" s="38"/>
      <c r="G15" s="39"/>
      <c r="H15" s="36" t="s">
        <v>44</v>
      </c>
      <c r="I15" s="40">
        <f>P12</f>
        <v>10</v>
      </c>
      <c r="J15" s="40">
        <f>I15*E15</f>
        <v>0.89999999999999991</v>
      </c>
      <c r="K15" s="42" t="s">
        <v>41</v>
      </c>
      <c r="L15" s="33"/>
      <c r="N15" s="25" t="s">
        <v>28</v>
      </c>
      <c r="P15" s="34">
        <v>90</v>
      </c>
    </row>
    <row r="16" spans="2:17" x14ac:dyDescent="0.2">
      <c r="B16" s="64" t="s">
        <v>17</v>
      </c>
      <c r="C16" s="65" t="s">
        <v>36</v>
      </c>
      <c r="D16" s="66">
        <v>1</v>
      </c>
      <c r="E16" s="67">
        <v>0.09</v>
      </c>
      <c r="F16" s="67">
        <v>0.09</v>
      </c>
      <c r="G16" s="68">
        <v>0.3</v>
      </c>
      <c r="H16" s="65" t="s">
        <v>69</v>
      </c>
      <c r="I16" s="40">
        <f>Q11</f>
        <v>4.5999999999999996</v>
      </c>
      <c r="J16" s="41">
        <f>(G16*I16)</f>
        <v>1.38</v>
      </c>
      <c r="K16" s="70" t="s">
        <v>43</v>
      </c>
      <c r="L16" s="33"/>
      <c r="N16" s="25" t="s">
        <v>79</v>
      </c>
      <c r="O16" s="71"/>
      <c r="P16" s="34">
        <f>'Arpa K'!P16</f>
        <v>1.5</v>
      </c>
    </row>
    <row r="17" spans="2:26" ht="13.5" thickBot="1" x14ac:dyDescent="0.25">
      <c r="B17" s="35" t="s">
        <v>17</v>
      </c>
      <c r="C17" s="36" t="s">
        <v>36</v>
      </c>
      <c r="D17" s="37"/>
      <c r="E17" s="38">
        <v>0.09</v>
      </c>
      <c r="F17" s="72"/>
      <c r="G17" s="39"/>
      <c r="H17" s="36" t="s">
        <v>44</v>
      </c>
      <c r="I17" s="40">
        <f>P12</f>
        <v>10</v>
      </c>
      <c r="J17" s="41">
        <f>(I17*E17)</f>
        <v>0.89999999999999991</v>
      </c>
      <c r="K17" s="73" t="s">
        <v>41</v>
      </c>
      <c r="L17" s="33"/>
      <c r="N17" s="25" t="s">
        <v>63</v>
      </c>
      <c r="P17" s="34">
        <f>'Arpa K'!P17</f>
        <v>2.5</v>
      </c>
      <c r="Q17" s="74"/>
    </row>
    <row r="18" spans="2:26" ht="13.5" thickBot="1" x14ac:dyDescent="0.25">
      <c r="B18" s="35" t="s">
        <v>85</v>
      </c>
      <c r="C18" s="36" t="s">
        <v>60</v>
      </c>
      <c r="D18" s="37">
        <v>2</v>
      </c>
      <c r="E18" s="38">
        <v>2.77</v>
      </c>
      <c r="F18" s="72">
        <v>1.5</v>
      </c>
      <c r="G18" s="77">
        <v>3</v>
      </c>
      <c r="H18" s="36" t="s">
        <v>69</v>
      </c>
      <c r="I18" s="40">
        <f>Q11</f>
        <v>4.5999999999999996</v>
      </c>
      <c r="J18" s="41">
        <f>D18*((I18*G18)+(E18*P12))</f>
        <v>83</v>
      </c>
      <c r="K18" s="42" t="s">
        <v>86</v>
      </c>
      <c r="N18" s="25" t="s">
        <v>65</v>
      </c>
      <c r="P18" s="25">
        <v>25</v>
      </c>
    </row>
    <row r="19" spans="2:26" ht="13.5" thickBot="1" x14ac:dyDescent="0.25">
      <c r="B19" s="50" t="s">
        <v>14</v>
      </c>
      <c r="C19" s="75"/>
      <c r="D19" s="76"/>
      <c r="E19" s="54">
        <f>SUM(E14:E18)</f>
        <v>3.13</v>
      </c>
      <c r="F19" s="54">
        <f>SUM(F14:F18)</f>
        <v>1.68</v>
      </c>
      <c r="G19" s="62"/>
      <c r="H19" s="51"/>
      <c r="I19" s="78"/>
      <c r="J19" s="57">
        <f>SUM(J14:J18)</f>
        <v>88.46</v>
      </c>
      <c r="K19" s="58"/>
      <c r="L19" s="33"/>
      <c r="N19" s="25" t="s">
        <v>95</v>
      </c>
      <c r="P19" s="34">
        <v>1.7</v>
      </c>
    </row>
    <row r="20" spans="2:26" x14ac:dyDescent="0.2">
      <c r="B20" s="3" t="s">
        <v>18</v>
      </c>
      <c r="C20" s="30"/>
      <c r="D20" s="31"/>
      <c r="E20" s="61"/>
      <c r="F20" s="61"/>
      <c r="G20" s="68"/>
      <c r="H20" s="59"/>
      <c r="I20" s="63"/>
      <c r="J20" s="63"/>
      <c r="K20" s="32"/>
      <c r="L20" s="33"/>
      <c r="N20" s="25" t="s">
        <v>96</v>
      </c>
      <c r="P20" s="34">
        <v>20</v>
      </c>
    </row>
    <row r="21" spans="2:26" x14ac:dyDescent="0.2">
      <c r="B21" s="64" t="s">
        <v>19</v>
      </c>
      <c r="C21" s="65" t="s">
        <v>51</v>
      </c>
      <c r="D21" s="66">
        <v>1</v>
      </c>
      <c r="E21" s="67">
        <v>0.12</v>
      </c>
      <c r="F21" s="67">
        <v>0.12</v>
      </c>
      <c r="G21" s="68"/>
      <c r="H21" s="65" t="s">
        <v>69</v>
      </c>
      <c r="I21" s="69">
        <f>P13</f>
        <v>14</v>
      </c>
      <c r="J21" s="41">
        <f>(I21*D21)</f>
        <v>14</v>
      </c>
      <c r="K21" s="70" t="s">
        <v>46</v>
      </c>
      <c r="L21" s="33"/>
      <c r="O21" s="71"/>
      <c r="Q21" s="71"/>
    </row>
    <row r="22" spans="2:26" ht="13.5" thickBot="1" x14ac:dyDescent="0.25">
      <c r="B22" s="64" t="s">
        <v>20</v>
      </c>
      <c r="C22" s="65" t="s">
        <v>51</v>
      </c>
      <c r="D22" s="79"/>
      <c r="E22" s="67">
        <v>0.12</v>
      </c>
      <c r="F22" s="67"/>
      <c r="G22" s="47"/>
      <c r="H22" s="65" t="s">
        <v>44</v>
      </c>
      <c r="I22" s="69">
        <f>P12</f>
        <v>10</v>
      </c>
      <c r="J22" s="40">
        <f>(I22*E22)</f>
        <v>1.2</v>
      </c>
      <c r="K22" s="70" t="s">
        <v>41</v>
      </c>
      <c r="L22" s="33"/>
      <c r="O22" s="71"/>
      <c r="P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ht="13.5" thickBot="1" x14ac:dyDescent="0.25">
      <c r="B23" s="43" t="s">
        <v>21</v>
      </c>
      <c r="C23" s="44" t="s">
        <v>51</v>
      </c>
      <c r="D23" s="80"/>
      <c r="E23" s="81">
        <v>0.05</v>
      </c>
      <c r="F23" s="81">
        <v>0.05</v>
      </c>
      <c r="G23" s="75"/>
      <c r="H23" s="44" t="s">
        <v>45</v>
      </c>
      <c r="I23" s="82">
        <f>P14/2000</f>
        <v>1.7500000000000002E-2</v>
      </c>
      <c r="J23" s="40">
        <f>I23*E42</f>
        <v>8.0500000000000007</v>
      </c>
      <c r="K23" s="83" t="s">
        <v>47</v>
      </c>
      <c r="L23" s="33"/>
      <c r="O23" s="71"/>
      <c r="Q23" s="71"/>
    </row>
    <row r="24" spans="2:26" ht="13.5" thickBot="1" x14ac:dyDescent="0.25">
      <c r="B24" s="22" t="s">
        <v>14</v>
      </c>
      <c r="C24" s="75"/>
      <c r="D24" s="86"/>
      <c r="E24" s="87">
        <f>SUM(E21:E23)</f>
        <v>0.28999999999999998</v>
      </c>
      <c r="F24" s="87">
        <f>SUM(F21:F23)</f>
        <v>0.16999999999999998</v>
      </c>
      <c r="G24" s="30"/>
      <c r="H24" s="88"/>
      <c r="I24" s="89"/>
      <c r="J24" s="57">
        <f>SUM(J21:J23)</f>
        <v>23.25</v>
      </c>
      <c r="K24" s="90"/>
      <c r="L24" s="33"/>
      <c r="O24" s="92"/>
      <c r="Q24" s="71"/>
    </row>
    <row r="25" spans="2:26" x14ac:dyDescent="0.2">
      <c r="B25" s="3" t="s">
        <v>22</v>
      </c>
      <c r="C25" s="91"/>
      <c r="D25" s="31"/>
      <c r="E25" s="30"/>
      <c r="F25" s="30"/>
      <c r="G25" s="68">
        <f>P20</f>
        <v>20</v>
      </c>
      <c r="H25" s="59"/>
      <c r="I25" s="63"/>
      <c r="J25" s="63"/>
      <c r="K25" s="32"/>
      <c r="L25" s="33"/>
    </row>
    <row r="26" spans="2:26" x14ac:dyDescent="0.2">
      <c r="B26" s="64" t="s">
        <v>23</v>
      </c>
      <c r="C26" s="93"/>
      <c r="D26" s="79"/>
      <c r="E26" s="94"/>
      <c r="F26" s="94"/>
      <c r="G26" s="68">
        <f>O28</f>
        <v>20</v>
      </c>
      <c r="H26" s="65" t="s">
        <v>45</v>
      </c>
      <c r="I26" s="69">
        <f>P19</f>
        <v>1.7</v>
      </c>
      <c r="J26" s="41">
        <f>(I26*G26)</f>
        <v>34</v>
      </c>
      <c r="K26" s="70" t="s">
        <v>77</v>
      </c>
      <c r="L26" s="33"/>
    </row>
    <row r="27" spans="2:26" x14ac:dyDescent="0.2">
      <c r="B27" s="64" t="s">
        <v>74</v>
      </c>
      <c r="C27" s="93"/>
      <c r="D27" s="79"/>
      <c r="E27" s="94"/>
      <c r="F27" s="94"/>
      <c r="G27" s="68">
        <f>O29</f>
        <v>20</v>
      </c>
      <c r="H27" s="65" t="s">
        <v>45</v>
      </c>
      <c r="I27" s="69">
        <f>Q28</f>
        <v>1.45</v>
      </c>
      <c r="J27" s="41">
        <f>(I27*G27)</f>
        <v>29</v>
      </c>
      <c r="K27" s="70" t="s">
        <v>48</v>
      </c>
      <c r="L27" s="33"/>
      <c r="O27" s="71" t="s">
        <v>84</v>
      </c>
      <c r="P27" s="71" t="s">
        <v>8</v>
      </c>
      <c r="Q27" s="71" t="s">
        <v>64</v>
      </c>
    </row>
    <row r="28" spans="2:26" x14ac:dyDescent="0.2">
      <c r="B28" s="64" t="s">
        <v>75</v>
      </c>
      <c r="C28" s="93"/>
      <c r="D28" s="79"/>
      <c r="E28" s="94"/>
      <c r="F28" s="94"/>
      <c r="G28" s="68">
        <v>20</v>
      </c>
      <c r="H28" s="65" t="s">
        <v>45</v>
      </c>
      <c r="I28" s="69">
        <f>Q29</f>
        <v>1.05</v>
      </c>
      <c r="J28" s="41">
        <f>(I28*G28)</f>
        <v>21</v>
      </c>
      <c r="K28" s="70" t="s">
        <v>76</v>
      </c>
      <c r="L28" s="33"/>
      <c r="N28" s="33" t="s">
        <v>48</v>
      </c>
      <c r="O28" s="71">
        <v>20</v>
      </c>
      <c r="P28" s="34">
        <f>(Q28*O28)</f>
        <v>29</v>
      </c>
      <c r="Q28" s="171">
        <v>1.45</v>
      </c>
    </row>
    <row r="29" spans="2:26" x14ac:dyDescent="0.2">
      <c r="B29" s="64" t="s">
        <v>79</v>
      </c>
      <c r="C29" s="93"/>
      <c r="D29" s="66">
        <v>1</v>
      </c>
      <c r="E29" s="94"/>
      <c r="F29" s="94"/>
      <c r="G29" s="97">
        <v>0.05</v>
      </c>
      <c r="H29" s="65" t="s">
        <v>69</v>
      </c>
      <c r="I29" s="69">
        <f>P16</f>
        <v>1.5</v>
      </c>
      <c r="J29" s="41">
        <f>P16</f>
        <v>1.5</v>
      </c>
      <c r="K29" s="70" t="s">
        <v>80</v>
      </c>
      <c r="L29" s="33"/>
      <c r="N29" s="25" t="s">
        <v>78</v>
      </c>
      <c r="O29" s="71">
        <v>20</v>
      </c>
      <c r="P29" s="34">
        <f>(Q29*O29)</f>
        <v>21</v>
      </c>
      <c r="Q29" s="171">
        <v>1.05</v>
      </c>
    </row>
    <row r="30" spans="2:26" x14ac:dyDescent="0.2">
      <c r="B30" s="35" t="s">
        <v>24</v>
      </c>
      <c r="C30" s="95"/>
      <c r="D30" s="96"/>
      <c r="E30" s="97"/>
      <c r="F30" s="97"/>
      <c r="G30" s="97">
        <v>0.05</v>
      </c>
      <c r="H30" s="36" t="s">
        <v>45</v>
      </c>
      <c r="I30" s="40">
        <f>P17</f>
        <v>2.5</v>
      </c>
      <c r="J30" s="41">
        <f>(I30*G30)</f>
        <v>0.125</v>
      </c>
      <c r="K30" s="42" t="s">
        <v>49</v>
      </c>
      <c r="L30" s="33"/>
      <c r="Q30" s="74"/>
    </row>
    <row r="31" spans="2:26" ht="13.5" thickBot="1" x14ac:dyDescent="0.25">
      <c r="B31" s="98" t="s">
        <v>57</v>
      </c>
      <c r="C31" s="99"/>
      <c r="D31" s="158">
        <v>1</v>
      </c>
      <c r="E31" s="101"/>
      <c r="F31" s="101"/>
      <c r="G31" s="101"/>
      <c r="H31" s="102" t="s">
        <v>69</v>
      </c>
      <c r="I31" s="48">
        <f>P18</f>
        <v>25</v>
      </c>
      <c r="J31" s="82">
        <f>P18</f>
        <v>25</v>
      </c>
      <c r="K31" s="49" t="s">
        <v>88</v>
      </c>
      <c r="L31" s="33"/>
    </row>
    <row r="32" spans="2:26" ht="13.5" thickBot="1" x14ac:dyDescent="0.25">
      <c r="B32" s="50" t="s">
        <v>14</v>
      </c>
      <c r="C32" s="103"/>
      <c r="D32" s="76"/>
      <c r="E32" s="75"/>
      <c r="F32" s="75"/>
      <c r="G32" s="75"/>
      <c r="H32" s="75"/>
      <c r="I32" s="75"/>
      <c r="J32" s="57">
        <f>SUM(J26:J31)</f>
        <v>110.625</v>
      </c>
      <c r="K32" s="58"/>
      <c r="L32" s="33"/>
    </row>
    <row r="33" spans="2:12" ht="13.5" thickBot="1" x14ac:dyDescent="0.25">
      <c r="B33" s="50" t="s">
        <v>25</v>
      </c>
      <c r="C33" s="104"/>
      <c r="D33" s="76"/>
      <c r="E33" s="75"/>
      <c r="F33" s="75"/>
      <c r="G33" s="75"/>
      <c r="H33" s="75"/>
      <c r="I33" s="75"/>
      <c r="J33" s="57">
        <f>(J12+J19+J24+J32)</f>
        <v>245.27099999999999</v>
      </c>
      <c r="K33" s="58"/>
      <c r="L33" s="33"/>
    </row>
    <row r="34" spans="2:12" x14ac:dyDescent="0.2">
      <c r="B34" s="3" t="s">
        <v>26</v>
      </c>
      <c r="C34" s="91"/>
      <c r="D34" s="31"/>
      <c r="E34" s="30"/>
      <c r="F34" s="30"/>
      <c r="G34" s="30"/>
      <c r="H34" s="30"/>
      <c r="I34" s="30"/>
      <c r="J34" s="63"/>
      <c r="K34" s="32"/>
      <c r="L34" s="33"/>
    </row>
    <row r="35" spans="2:12" x14ac:dyDescent="0.2">
      <c r="B35" s="35" t="s">
        <v>27</v>
      </c>
      <c r="C35" s="95"/>
      <c r="D35" s="96"/>
      <c r="E35" s="97"/>
      <c r="F35" s="97"/>
      <c r="G35" s="97"/>
      <c r="H35" s="97"/>
      <c r="I35" s="97"/>
      <c r="J35" s="40">
        <f>J33*0.05</f>
        <v>12.26355</v>
      </c>
      <c r="K35" s="42"/>
      <c r="L35" s="33"/>
    </row>
    <row r="36" spans="2:12" x14ac:dyDescent="0.2">
      <c r="B36" s="35" t="s">
        <v>28</v>
      </c>
      <c r="C36" s="95"/>
      <c r="D36" s="96"/>
      <c r="E36" s="97"/>
      <c r="F36" s="97"/>
      <c r="G36" s="97"/>
      <c r="H36" s="97"/>
      <c r="I36" s="97"/>
      <c r="J36" s="40">
        <f>P15</f>
        <v>90</v>
      </c>
      <c r="K36" s="42"/>
      <c r="L36" s="33"/>
    </row>
    <row r="37" spans="2:12" x14ac:dyDescent="0.2">
      <c r="B37" s="35" t="s">
        <v>29</v>
      </c>
      <c r="C37" s="95"/>
      <c r="D37" s="96"/>
      <c r="E37" s="97"/>
      <c r="F37" s="97"/>
      <c r="G37" s="97"/>
      <c r="H37" s="97"/>
      <c r="I37" s="97"/>
      <c r="J37" s="40">
        <f>((J33+J35+J36)*0.07)</f>
        <v>24.3274185</v>
      </c>
      <c r="K37" s="42"/>
      <c r="L37" s="33"/>
    </row>
    <row r="38" spans="2:12" x14ac:dyDescent="0.2">
      <c r="B38" s="105" t="s">
        <v>30</v>
      </c>
      <c r="C38" s="93"/>
      <c r="D38" s="106"/>
      <c r="E38" s="107"/>
      <c r="F38" s="107"/>
      <c r="G38" s="107"/>
      <c r="H38" s="107"/>
      <c r="I38" s="107"/>
      <c r="J38" s="108">
        <f>((J33+J35+J36)*0.03)</f>
        <v>10.426036499999999</v>
      </c>
      <c r="K38" s="83"/>
      <c r="L38" s="33"/>
    </row>
    <row r="39" spans="2:12" ht="13.5" thickBot="1" x14ac:dyDescent="0.25">
      <c r="B39" s="109" t="s">
        <v>14</v>
      </c>
      <c r="C39" s="103"/>
      <c r="D39" s="110"/>
      <c r="E39" s="111"/>
      <c r="F39" s="111"/>
      <c r="G39" s="111"/>
      <c r="H39" s="111"/>
      <c r="I39" s="111"/>
      <c r="J39" s="112">
        <f>SUM(J35:J38)</f>
        <v>137.01700500000001</v>
      </c>
      <c r="K39" s="113"/>
      <c r="L39" s="33"/>
    </row>
    <row r="40" spans="2:12" ht="13.5" thickBot="1" x14ac:dyDescent="0.25">
      <c r="B40" s="2" t="s">
        <v>31</v>
      </c>
      <c r="C40" s="104"/>
      <c r="D40" s="76"/>
      <c r="E40" s="54">
        <v>1.32</v>
      </c>
      <c r="F40" s="54">
        <v>0.81</v>
      </c>
      <c r="G40" s="75"/>
      <c r="H40" s="75"/>
      <c r="I40" s="75"/>
      <c r="J40" s="57">
        <f>(J33+J39)</f>
        <v>382.288005</v>
      </c>
      <c r="K40" s="58"/>
      <c r="L40" s="33"/>
    </row>
    <row r="41" spans="2:12" ht="13.5" thickBot="1" x14ac:dyDescent="0.25">
      <c r="B41" s="33"/>
      <c r="C41" s="33"/>
      <c r="D41" s="33"/>
      <c r="E41" s="114"/>
      <c r="F41" s="114"/>
      <c r="G41" s="33"/>
      <c r="H41" s="33"/>
      <c r="I41" s="33"/>
      <c r="J41" s="33"/>
      <c r="K41" s="33"/>
      <c r="L41" s="33"/>
    </row>
    <row r="42" spans="2:12" x14ac:dyDescent="0.2">
      <c r="B42" s="115" t="s">
        <v>32</v>
      </c>
      <c r="C42" s="116" t="s">
        <v>67</v>
      </c>
      <c r="D42" s="60"/>
      <c r="E42" s="117">
        <v>460</v>
      </c>
      <c r="F42" s="60"/>
      <c r="G42" s="118"/>
      <c r="H42" s="118"/>
      <c r="I42" s="118"/>
      <c r="J42" s="118"/>
      <c r="K42" s="32"/>
      <c r="L42" s="33"/>
    </row>
    <row r="43" spans="2:12" x14ac:dyDescent="0.2">
      <c r="B43" s="35" t="s">
        <v>33</v>
      </c>
      <c r="C43" s="119" t="s">
        <v>68</v>
      </c>
      <c r="D43" s="119"/>
      <c r="E43" s="120">
        <v>20</v>
      </c>
      <c r="F43" s="121"/>
      <c r="G43" s="166" t="s">
        <v>251</v>
      </c>
      <c r="H43" s="33"/>
      <c r="I43" s="33"/>
      <c r="J43" s="33"/>
      <c r="K43" s="83"/>
      <c r="L43" s="33"/>
    </row>
    <row r="44" spans="2:12" x14ac:dyDescent="0.2">
      <c r="B44" s="35" t="s">
        <v>34</v>
      </c>
      <c r="C44" s="119" t="s">
        <v>68</v>
      </c>
      <c r="D44" s="119"/>
      <c r="E44" s="120">
        <f>(J40-E43)</f>
        <v>362.288005</v>
      </c>
      <c r="F44" s="121"/>
      <c r="G44" s="122"/>
      <c r="H44" s="122"/>
      <c r="I44" s="122"/>
      <c r="J44" s="122"/>
      <c r="K44" s="42"/>
      <c r="L44" s="33"/>
    </row>
    <row r="45" spans="2:12" x14ac:dyDescent="0.2">
      <c r="B45" s="35" t="s">
        <v>34</v>
      </c>
      <c r="C45" s="119" t="s">
        <v>35</v>
      </c>
      <c r="D45" s="119"/>
      <c r="E45" s="120">
        <f>(E44/E42)</f>
        <v>0.78758261956521736</v>
      </c>
      <c r="F45" s="121"/>
      <c r="G45" s="33"/>
      <c r="H45" s="33"/>
      <c r="I45" s="33"/>
      <c r="J45" s="33"/>
      <c r="K45" s="83"/>
      <c r="L45" s="33"/>
    </row>
    <row r="46" spans="2:12" ht="13.5" thickBot="1" x14ac:dyDescent="0.25">
      <c r="B46" s="109" t="s">
        <v>81</v>
      </c>
      <c r="C46" s="123" t="s">
        <v>35</v>
      </c>
      <c r="D46" s="123"/>
      <c r="E46" s="124">
        <f>E45*1.3</f>
        <v>1.0238574054347827</v>
      </c>
      <c r="F46" s="125"/>
      <c r="G46" s="99"/>
      <c r="H46" s="99"/>
      <c r="I46" s="99"/>
      <c r="J46" s="99"/>
      <c r="K46" s="126"/>
      <c r="L46" s="33"/>
    </row>
    <row r="47" spans="2:12" x14ac:dyDescent="0.2">
      <c r="B47" s="33"/>
      <c r="C47" s="24"/>
      <c r="D47" s="24"/>
      <c r="E47" s="127"/>
      <c r="F47" s="127"/>
      <c r="G47" s="33"/>
      <c r="H47" s="33"/>
      <c r="I47" s="33"/>
      <c r="J47" s="33"/>
      <c r="K47" s="33"/>
      <c r="L47" s="33"/>
    </row>
    <row r="48" spans="2:12" x14ac:dyDescent="0.2">
      <c r="B48" s="33"/>
      <c r="C48" s="24"/>
      <c r="D48" s="24"/>
      <c r="E48" s="127"/>
      <c r="F48" s="127"/>
      <c r="G48" s="33"/>
      <c r="H48" s="33"/>
      <c r="I48" s="33"/>
      <c r="J48" s="33"/>
      <c r="K48" s="33"/>
      <c r="L48" s="33"/>
    </row>
    <row r="49" spans="2:12" x14ac:dyDescent="0.2">
      <c r="B49" s="25" t="s">
        <v>82</v>
      </c>
      <c r="L49" s="33"/>
    </row>
    <row r="50" spans="2:12" x14ac:dyDescent="0.2">
      <c r="B50" s="25" t="s">
        <v>217</v>
      </c>
    </row>
    <row r="71" spans="9:10" x14ac:dyDescent="0.2">
      <c r="I71" s="343"/>
      <c r="J71" s="343"/>
    </row>
    <row r="72" spans="9:10" x14ac:dyDescent="0.2">
      <c r="I72" s="332"/>
      <c r="J72" s="332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</sheetData>
  <customSheetViews>
    <customSheetView guid="{8B6B86C0-2F1B-11D5-9D92-00606708EF55}" scale="75" showRuler="0" topLeftCell="A17">
      <selection activeCell="M40" sqref="M40"/>
      <pageMargins left="0.74803149606299213" right="0.74803149606299213" top="0.19685039370078741" bottom="0.19685039370078741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2:J72"/>
    <mergeCell ref="B1:K1"/>
    <mergeCell ref="I77:J77"/>
    <mergeCell ref="I74:J74"/>
    <mergeCell ref="I75:J75"/>
    <mergeCell ref="I76:J76"/>
    <mergeCell ref="C3:D5"/>
    <mergeCell ref="E3:F3"/>
    <mergeCell ref="E4:F4"/>
    <mergeCell ref="I73:J73"/>
    <mergeCell ref="I71:J71"/>
  </mergeCells>
  <phoneticPr fontId="2" type="noConversion"/>
  <printOptions horizontalCentered="1" verticalCentered="1"/>
  <pageMargins left="0.74803149606299213" right="0.74803149606299213" top="0.19685039370078741" bottom="0.19685039370078741" header="0.51181102362204722" footer="0.51181102362204722"/>
  <pageSetup paperSize="9" scale="89" orientation="landscape" r:id="rId2"/>
  <headerFooter alignWithMargins="0"/>
  <ignoredErrors>
    <ignoredError sqref="J29:J3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3"/>
  <sheetViews>
    <sheetView tabSelected="1" zoomScale="75" zoomScaleNormal="75" workbookViewId="0">
      <selection activeCell="K31" sqref="K31"/>
    </sheetView>
  </sheetViews>
  <sheetFormatPr defaultRowHeight="12.75" x14ac:dyDescent="0.2"/>
  <cols>
    <col min="1" max="1" width="3.7109375" customWidth="1"/>
    <col min="2" max="2" width="16.42578125" customWidth="1"/>
    <col min="3" max="3" width="12.42578125" customWidth="1"/>
    <col min="4" max="4" width="17.140625" customWidth="1"/>
    <col min="5" max="5" width="14.28515625" customWidth="1"/>
    <col min="6" max="6" width="15" customWidth="1"/>
    <col min="7" max="7" width="17.42578125" customWidth="1"/>
    <col min="8" max="8" width="18.5703125" customWidth="1"/>
    <col min="9" max="9" width="14" customWidth="1"/>
    <col min="10" max="10" width="14.140625" customWidth="1"/>
    <col min="11" max="11" width="13.5703125" customWidth="1"/>
    <col min="12" max="12" width="20.42578125" hidden="1" customWidth="1"/>
    <col min="13" max="13" width="22.5703125" customWidth="1"/>
    <col min="14" max="14" width="17.42578125" customWidth="1"/>
    <col min="15" max="15" width="9.7109375" bestFit="1" customWidth="1"/>
  </cols>
  <sheetData>
    <row r="2" spans="2:15" ht="30" customHeight="1" x14ac:dyDescent="0.2">
      <c r="B2" s="352" t="s">
        <v>249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</row>
    <row r="3" spans="2:15" ht="14.25" customHeigh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"/>
      <c r="N3" s="1"/>
    </row>
    <row r="4" spans="2:15" ht="13.5" thickBot="1" x14ac:dyDescent="0.25">
      <c r="M4" s="161"/>
      <c r="N4" s="161"/>
    </row>
    <row r="5" spans="2:15" ht="30" customHeight="1" x14ac:dyDescent="0.2">
      <c r="B5" s="362" t="s">
        <v>72</v>
      </c>
      <c r="C5" s="357" t="s">
        <v>71</v>
      </c>
      <c r="D5" s="357" t="s">
        <v>208</v>
      </c>
      <c r="E5" s="357" t="s">
        <v>209</v>
      </c>
      <c r="F5" s="357" t="s">
        <v>210</v>
      </c>
      <c r="G5" s="357" t="s">
        <v>211</v>
      </c>
      <c r="H5" s="357" t="s">
        <v>216</v>
      </c>
      <c r="I5" s="357" t="s">
        <v>212</v>
      </c>
      <c r="J5" s="357" t="s">
        <v>213</v>
      </c>
      <c r="K5" s="353" t="s">
        <v>215</v>
      </c>
      <c r="L5" s="355" t="s">
        <v>214</v>
      </c>
      <c r="M5" s="349" t="s">
        <v>220</v>
      </c>
      <c r="N5" s="359" t="s">
        <v>219</v>
      </c>
    </row>
    <row r="6" spans="2:15" ht="30" customHeight="1" thickBot="1" x14ac:dyDescent="0.25">
      <c r="B6" s="363"/>
      <c r="C6" s="358"/>
      <c r="D6" s="358"/>
      <c r="E6" s="358"/>
      <c r="F6" s="358"/>
      <c r="G6" s="358"/>
      <c r="H6" s="358"/>
      <c r="I6" s="358"/>
      <c r="J6" s="358"/>
      <c r="K6" s="354"/>
      <c r="L6" s="356"/>
      <c r="M6" s="350"/>
      <c r="N6" s="360"/>
    </row>
    <row r="7" spans="2:15" ht="30" customHeight="1" x14ac:dyDescent="0.2">
      <c r="B7" s="131" t="s">
        <v>1</v>
      </c>
      <c r="C7" s="132" t="s">
        <v>4</v>
      </c>
      <c r="D7" s="133">
        <f>'Arpa K'!J12</f>
        <v>26.992000000000001</v>
      </c>
      <c r="E7" s="133">
        <f>'Arpa K'!J18</f>
        <v>5.3599999999999994</v>
      </c>
      <c r="F7" s="133">
        <f>'Arpa K'!J23</f>
        <v>19.399999999999999</v>
      </c>
      <c r="G7" s="133">
        <f>'Arpa K'!J30</f>
        <v>69.125</v>
      </c>
      <c r="H7" s="133">
        <f>D7+E7+F7+G7</f>
        <v>120.87700000000001</v>
      </c>
      <c r="I7" s="133">
        <f>'Arpa K'!E43</f>
        <v>0.77400487500000004</v>
      </c>
      <c r="J7" s="133">
        <f>'Arpa K'!E42</f>
        <v>185.76117000000002</v>
      </c>
      <c r="K7" s="134">
        <f>'Arpa K'!E40</f>
        <v>240</v>
      </c>
      <c r="L7" s="135">
        <v>0.4</v>
      </c>
      <c r="M7" s="162">
        <f>'Arpa K'!E44</f>
        <v>1.0062063375000001</v>
      </c>
      <c r="N7" s="347">
        <f>(M7+M8)/2</f>
        <v>1.0150318714673914</v>
      </c>
      <c r="O7" s="160"/>
    </row>
    <row r="8" spans="2:15" ht="30" customHeight="1" thickBot="1" x14ac:dyDescent="0.25">
      <c r="B8" s="11" t="s">
        <v>1</v>
      </c>
      <c r="C8" s="12" t="s">
        <v>3</v>
      </c>
      <c r="D8" s="14">
        <f>'Arpa S'!J12</f>
        <v>22.936</v>
      </c>
      <c r="E8" s="14">
        <f>'Arpa S'!J19</f>
        <v>88.46</v>
      </c>
      <c r="F8" s="14">
        <f>'Arpa S'!J24</f>
        <v>23.25</v>
      </c>
      <c r="G8" s="14">
        <f>'Arpa S'!J32</f>
        <v>110.625</v>
      </c>
      <c r="H8" s="133">
        <f t="shared" ref="H8:H10" si="0">D8+E8+F8+G8</f>
        <v>245.27099999999999</v>
      </c>
      <c r="I8" s="14">
        <f>'Arpa S'!E45</f>
        <v>0.78758261956521736</v>
      </c>
      <c r="J8" s="14">
        <f>'Arpa S'!E44</f>
        <v>362.288005</v>
      </c>
      <c r="K8" s="13">
        <f>'Arpa S'!E42</f>
        <v>460</v>
      </c>
      <c r="L8" s="136">
        <v>0.4</v>
      </c>
      <c r="M8" s="162">
        <f>'Arpa S'!E46</f>
        <v>1.0238574054347827</v>
      </c>
      <c r="N8" s="361"/>
    </row>
    <row r="9" spans="2:15" ht="30" customHeight="1" x14ac:dyDescent="0.2">
      <c r="B9" s="11" t="s">
        <v>0</v>
      </c>
      <c r="C9" s="12" t="s">
        <v>4</v>
      </c>
      <c r="D9" s="14">
        <f>'Buğday K'!J12</f>
        <v>26.992000000000001</v>
      </c>
      <c r="E9" s="14">
        <f>'Buğday K'!J18</f>
        <v>5.3599999999999994</v>
      </c>
      <c r="F9" s="14">
        <f>'Buğday K'!J23</f>
        <v>19.05</v>
      </c>
      <c r="G9" s="14">
        <f>'Buğday K'!J31</f>
        <v>74.125</v>
      </c>
      <c r="H9" s="133">
        <f t="shared" si="0"/>
        <v>125.527</v>
      </c>
      <c r="I9" s="14">
        <f>'Buğday K'!E44</f>
        <v>0.86994395454545459</v>
      </c>
      <c r="J9" s="14">
        <f>'Buğday K'!E43</f>
        <v>191.38767000000001</v>
      </c>
      <c r="K9" s="13">
        <f>'Buğday K'!E41</f>
        <v>220</v>
      </c>
      <c r="L9" s="136">
        <v>0.45</v>
      </c>
      <c r="M9" s="162">
        <f>'Buğday K'!E45</f>
        <v>1.1309271409090911</v>
      </c>
      <c r="N9" s="347">
        <f>(M9+M10)/2</f>
        <v>1.0828345414545457</v>
      </c>
    </row>
    <row r="10" spans="2:15" ht="30" customHeight="1" thickBot="1" x14ac:dyDescent="0.25">
      <c r="B10" s="182" t="s">
        <v>0</v>
      </c>
      <c r="C10" s="317" t="s">
        <v>3</v>
      </c>
      <c r="D10" s="318">
        <f>'Buğday S'!J12</f>
        <v>26.992000000000001</v>
      </c>
      <c r="E10" s="318">
        <f>'Buğday S'!J19</f>
        <v>88.46</v>
      </c>
      <c r="F10" s="318">
        <f>'Buğday S'!J24</f>
        <v>23.95</v>
      </c>
      <c r="G10" s="318">
        <f>'Buğday S'!J33</f>
        <v>115.125</v>
      </c>
      <c r="H10" s="319">
        <f t="shared" si="0"/>
        <v>254.52699999999999</v>
      </c>
      <c r="I10" s="318">
        <f>'Buğday S'!E46</f>
        <v>0.79595534000000001</v>
      </c>
      <c r="J10" s="318">
        <f>'Buğday S'!E45</f>
        <v>397.97766999999999</v>
      </c>
      <c r="K10" s="320">
        <f>'Buğday S'!E43</f>
        <v>500</v>
      </c>
      <c r="L10" s="321">
        <v>0.45</v>
      </c>
      <c r="M10" s="322">
        <f>'Buğday S'!E47</f>
        <v>1.0347419420000001</v>
      </c>
      <c r="N10" s="351"/>
    </row>
    <row r="11" spans="2:15" ht="30" customHeight="1" thickBot="1" x14ac:dyDescent="0.25">
      <c r="B11" s="323" t="s">
        <v>248</v>
      </c>
      <c r="C11" s="324" t="s">
        <v>4</v>
      </c>
      <c r="D11" s="325">
        <f>Çavdar!J12</f>
        <v>21.759999999999998</v>
      </c>
      <c r="E11" s="325">
        <f>Çavdar!J18</f>
        <v>2</v>
      </c>
      <c r="F11" s="325">
        <f>Çavdar!J23</f>
        <v>20.45</v>
      </c>
      <c r="G11" s="325">
        <f>Çavdar!J30</f>
        <v>58.6</v>
      </c>
      <c r="H11" s="325">
        <f>Çavdar!J31</f>
        <v>102.81</v>
      </c>
      <c r="I11" s="325">
        <f>Çavdar!E43</f>
        <v>0.49800033333333338</v>
      </c>
      <c r="J11" s="325">
        <f>Çavdar!J38</f>
        <v>157.40010000000001</v>
      </c>
      <c r="K11" s="324">
        <f>Çavdar!E40</f>
        <v>300</v>
      </c>
      <c r="L11" s="324"/>
      <c r="M11" s="326">
        <f>Çavdar!E44</f>
        <v>0.64740043333333341</v>
      </c>
      <c r="N11" s="327">
        <f>M11</f>
        <v>0.64740043333333341</v>
      </c>
    </row>
    <row r="12" spans="2:15" ht="30" customHeight="1" thickBot="1" x14ac:dyDescent="0.25">
      <c r="B12" s="304" t="s">
        <v>94</v>
      </c>
      <c r="C12" s="305" t="s">
        <v>3</v>
      </c>
      <c r="D12" s="306">
        <f>Pancar!J12</f>
        <v>29.678000000000001</v>
      </c>
      <c r="E12" s="306">
        <f>Pancar!J20</f>
        <v>462.31</v>
      </c>
      <c r="F12" s="306">
        <f>Pancar!J25</f>
        <v>255.59090909090909</v>
      </c>
      <c r="G12" s="306">
        <f>Pancar!J34</f>
        <v>227.95</v>
      </c>
      <c r="H12" s="133">
        <f t="shared" ref="H12:H23" si="1">D12+E12+F12+G12</f>
        <v>975.52890909090911</v>
      </c>
      <c r="I12" s="306">
        <f>Pancar!E47</f>
        <v>0.19734398307692305</v>
      </c>
      <c r="J12" s="306">
        <f>Pancar!E46</f>
        <v>1282.7358899999999</v>
      </c>
      <c r="K12" s="307">
        <f>Pancar!E44</f>
        <v>6500</v>
      </c>
      <c r="L12" s="308">
        <v>0.1</v>
      </c>
      <c r="M12" s="162">
        <f>Pancar!E48</f>
        <v>0.25654717799999999</v>
      </c>
      <c r="N12" s="316">
        <f t="shared" ref="N12:N18" si="2">M12</f>
        <v>0.25654717799999999</v>
      </c>
      <c r="O12" t="s">
        <v>66</v>
      </c>
    </row>
    <row r="13" spans="2:15" ht="30" customHeight="1" thickBot="1" x14ac:dyDescent="0.25">
      <c r="B13" s="192" t="s">
        <v>61</v>
      </c>
      <c r="C13" s="194" t="s">
        <v>3</v>
      </c>
      <c r="D13" s="198">
        <f>'Ayçiçeği S'!J12</f>
        <v>25.48</v>
      </c>
      <c r="E13" s="198">
        <f>'Ayçiçeği S'!J20</f>
        <v>161.37</v>
      </c>
      <c r="F13" s="198">
        <f>'Ayçiçeği S'!J26</f>
        <v>27.995000000000001</v>
      </c>
      <c r="G13" s="198">
        <f>'Ayçiçeği S'!J34</f>
        <v>109.7</v>
      </c>
      <c r="H13" s="306">
        <f t="shared" si="1"/>
        <v>324.54500000000002</v>
      </c>
      <c r="I13" s="198">
        <f>'Ayçiçeği S'!E47</f>
        <v>1.5751985333333336</v>
      </c>
      <c r="J13" s="198">
        <f>'Ayçiçeği S'!E46</f>
        <v>590.69945000000007</v>
      </c>
      <c r="K13" s="195">
        <f>'Ayçiçeği S'!E44</f>
        <v>375</v>
      </c>
      <c r="L13" s="309">
        <v>0.85</v>
      </c>
      <c r="M13" s="311">
        <f>'Ayçiçeği S'!E48</f>
        <v>2.0477580933333339</v>
      </c>
      <c r="N13" s="312">
        <f t="shared" si="2"/>
        <v>2.0477580933333339</v>
      </c>
    </row>
    <row r="14" spans="2:15" ht="30" customHeight="1" thickBot="1" x14ac:dyDescent="0.25">
      <c r="B14" s="192" t="s">
        <v>2</v>
      </c>
      <c r="C14" s="194" t="s">
        <v>4</v>
      </c>
      <c r="D14" s="198">
        <f>'Nohut K'!J11</f>
        <v>23.34</v>
      </c>
      <c r="E14" s="198">
        <f>'Nohut K'!J17</f>
        <v>2.9699999999999998</v>
      </c>
      <c r="F14" s="198">
        <f>'Nohut K'!J22</f>
        <v>80.5</v>
      </c>
      <c r="G14" s="198">
        <f>'Nohut K'!J29</f>
        <v>141.25</v>
      </c>
      <c r="H14" s="306">
        <f t="shared" si="1"/>
        <v>248.06</v>
      </c>
      <c r="I14" s="198">
        <f>'Nohut K'!E42</f>
        <v>3.4965260000000002</v>
      </c>
      <c r="J14" s="198">
        <f>'Nohut K'!E41</f>
        <v>349.65260000000001</v>
      </c>
      <c r="K14" s="195">
        <f>'Nohut K'!E39</f>
        <v>100</v>
      </c>
      <c r="L14" s="309">
        <v>2</v>
      </c>
      <c r="M14" s="311">
        <f>'Nohut K'!E43</f>
        <v>4.5454838000000004</v>
      </c>
      <c r="N14" s="312">
        <f t="shared" si="2"/>
        <v>4.5454838000000004</v>
      </c>
    </row>
    <row r="15" spans="2:15" ht="30" customHeight="1" thickBot="1" x14ac:dyDescent="0.25">
      <c r="B15" s="192" t="s">
        <v>127</v>
      </c>
      <c r="C15" s="194" t="s">
        <v>4</v>
      </c>
      <c r="D15" s="198">
        <f>'Y.Mercimek K'!J11</f>
        <v>32.910000000000004</v>
      </c>
      <c r="E15" s="198">
        <f>'Y.Mercimek K'!J17</f>
        <v>7.24</v>
      </c>
      <c r="F15" s="198">
        <f>'Y.Mercimek K'!J22</f>
        <v>110.27500000000001</v>
      </c>
      <c r="G15" s="198">
        <f>'Y.Mercimek K'!J29</f>
        <v>155.5</v>
      </c>
      <c r="H15" s="306">
        <f t="shared" si="1"/>
        <v>305.92500000000001</v>
      </c>
      <c r="I15" s="198">
        <f>'Y.Mercimek K'!E42</f>
        <v>4.9372852941176477</v>
      </c>
      <c r="J15" s="198">
        <f>'Y.Mercimek K'!E41</f>
        <v>419.66925000000003</v>
      </c>
      <c r="K15" s="195">
        <f>'Y.Mercimek K'!E39</f>
        <v>85</v>
      </c>
      <c r="L15" s="309">
        <v>2</v>
      </c>
      <c r="M15" s="311">
        <f>'Y.Mercimek K'!E43</f>
        <v>6.4184708823529419</v>
      </c>
      <c r="N15" s="312">
        <f t="shared" si="2"/>
        <v>6.4184708823529419</v>
      </c>
    </row>
    <row r="16" spans="2:15" ht="30" customHeight="1" thickBot="1" x14ac:dyDescent="0.25">
      <c r="B16" s="304" t="s">
        <v>93</v>
      </c>
      <c r="C16" s="305" t="s">
        <v>3</v>
      </c>
      <c r="D16" s="198">
        <f>'D.Mısır S '!J12</f>
        <v>29.843999999999998</v>
      </c>
      <c r="E16" s="198">
        <f>'D.Mısır S '!J20</f>
        <v>177.87</v>
      </c>
      <c r="F16" s="198">
        <f>'D.Mısır S '!J25</f>
        <v>106.74</v>
      </c>
      <c r="G16" s="198">
        <f>'D.Mısır S '!J33</f>
        <v>208.2</v>
      </c>
      <c r="H16" s="306">
        <f t="shared" si="1"/>
        <v>522.654</v>
      </c>
      <c r="I16" s="198">
        <f>'D.Mısır S '!E46</f>
        <v>0.92839929032258062</v>
      </c>
      <c r="J16" s="198">
        <f>'D.Mısır S '!E45</f>
        <v>863.41134</v>
      </c>
      <c r="K16" s="195">
        <f>'D.Mısır S '!E43</f>
        <v>930</v>
      </c>
      <c r="L16" s="309">
        <v>2</v>
      </c>
      <c r="M16" s="311">
        <f>'D.Mısır S '!E47</f>
        <v>1.2069190774193548</v>
      </c>
      <c r="N16" s="312">
        <f t="shared" si="2"/>
        <v>1.2069190774193548</v>
      </c>
    </row>
    <row r="17" spans="2:14" ht="30" customHeight="1" thickBot="1" x14ac:dyDescent="0.25">
      <c r="B17" s="192" t="s">
        <v>89</v>
      </c>
      <c r="C17" s="194" t="s">
        <v>3</v>
      </c>
      <c r="D17" s="306">
        <f>Domates!J12</f>
        <v>33.369999999999997</v>
      </c>
      <c r="E17" s="306">
        <f>Domates!J19</f>
        <v>335.66750000000002</v>
      </c>
      <c r="F17" s="306">
        <f>Domates!J24</f>
        <v>100.6</v>
      </c>
      <c r="G17" s="306">
        <f>Domates!J32</f>
        <v>1056.7</v>
      </c>
      <c r="H17" s="306">
        <f t="shared" si="1"/>
        <v>1526.3375000000001</v>
      </c>
      <c r="I17" s="306">
        <f>Domates!E45</f>
        <v>0.3437792780172414</v>
      </c>
      <c r="J17" s="306">
        <f>Domates!E44</f>
        <v>1993.9198125</v>
      </c>
      <c r="K17" s="307">
        <f>Domates!E42</f>
        <v>5800</v>
      </c>
      <c r="L17" s="308">
        <v>0.4</v>
      </c>
      <c r="M17" s="311">
        <f>Domates!E46</f>
        <v>0.44691306142241383</v>
      </c>
      <c r="N17" s="312">
        <f t="shared" si="2"/>
        <v>0.44691306142241383</v>
      </c>
    </row>
    <row r="18" spans="2:14" ht="30" customHeight="1" thickBot="1" x14ac:dyDescent="0.25">
      <c r="B18" s="192" t="s">
        <v>128</v>
      </c>
      <c r="C18" s="194" t="s">
        <v>3</v>
      </c>
      <c r="D18" s="198">
        <f>'Fasulye S'!J12</f>
        <v>40.620000000000005</v>
      </c>
      <c r="E18" s="198">
        <f>'Fasulye S'!J19</f>
        <v>234.27999999999997</v>
      </c>
      <c r="F18" s="198">
        <f>'Fasulye S'!J24</f>
        <v>40.924999999999997</v>
      </c>
      <c r="G18" s="198">
        <f>'Fasulye S'!J33</f>
        <v>208.45</v>
      </c>
      <c r="H18" s="306">
        <f t="shared" si="1"/>
        <v>524.27499999999998</v>
      </c>
      <c r="I18" s="198">
        <f>'Fasulye S'!E46</f>
        <v>5.7691516666666667</v>
      </c>
      <c r="J18" s="198">
        <f>'Fasulye S'!E45</f>
        <v>865.37275</v>
      </c>
      <c r="K18" s="195">
        <f>'Fasulye S'!E43</f>
        <v>150</v>
      </c>
      <c r="L18" s="309">
        <v>0.4</v>
      </c>
      <c r="M18" s="311">
        <f>'Fasulye S'!E47</f>
        <v>7.4998971666666669</v>
      </c>
      <c r="N18" s="312">
        <f t="shared" si="2"/>
        <v>7.4998971666666669</v>
      </c>
    </row>
    <row r="19" spans="2:14" ht="30" customHeight="1" thickBot="1" x14ac:dyDescent="0.25">
      <c r="B19" s="192" t="s">
        <v>90</v>
      </c>
      <c r="C19" s="194" t="s">
        <v>4</v>
      </c>
      <c r="D19" s="198">
        <f>'Haşhaş K'!J12</f>
        <v>32.869999999999997</v>
      </c>
      <c r="E19" s="198">
        <f>'Haşhaş K'!J18</f>
        <v>165.27500000000001</v>
      </c>
      <c r="F19" s="198">
        <f>'Haşhaş K'!J23</f>
        <v>145.875</v>
      </c>
      <c r="G19" s="198">
        <f>'Haşhaş K'!J30</f>
        <v>56.75</v>
      </c>
      <c r="H19" s="306">
        <f t="shared" si="1"/>
        <v>400.77</v>
      </c>
      <c r="I19" s="198">
        <f>'Haşhaş K'!E43</f>
        <v>7.1571949999999998</v>
      </c>
      <c r="J19" s="198">
        <f>'Haşhaş K'!E42</f>
        <v>429.43169999999998</v>
      </c>
      <c r="K19" s="195">
        <f>'Haşhaş K'!E40</f>
        <v>60</v>
      </c>
      <c r="L19" s="309">
        <v>0.45</v>
      </c>
      <c r="M19" s="311">
        <f>'Haşhaş K'!E44</f>
        <v>9.3043534999999995</v>
      </c>
      <c r="N19" s="315">
        <f>(M19)</f>
        <v>9.3043534999999995</v>
      </c>
    </row>
    <row r="20" spans="2:14" ht="30" customHeight="1" thickBot="1" x14ac:dyDescent="0.25">
      <c r="B20" s="192" t="s">
        <v>91</v>
      </c>
      <c r="C20" s="194" t="s">
        <v>3</v>
      </c>
      <c r="D20" s="198">
        <f>'Kanola S'!J12</f>
        <v>37.050000000000004</v>
      </c>
      <c r="E20" s="198">
        <f>'Kanola S'!J19</f>
        <v>81.94</v>
      </c>
      <c r="F20" s="198">
        <f>'Kanola S'!J24</f>
        <v>24.57</v>
      </c>
      <c r="G20" s="198">
        <f>'Kanola S'!J32</f>
        <v>97.75</v>
      </c>
      <c r="H20" s="306">
        <f t="shared" si="1"/>
        <v>241.31</v>
      </c>
      <c r="I20" s="198">
        <v>1</v>
      </c>
      <c r="J20" s="198">
        <v>350.64</v>
      </c>
      <c r="K20" s="195">
        <f>'Kanola S'!E42</f>
        <v>350</v>
      </c>
      <c r="L20" s="309">
        <v>0.1</v>
      </c>
      <c r="M20" s="311">
        <f>'Kanola S'!E46</f>
        <v>1.819944657142857</v>
      </c>
      <c r="N20" s="312"/>
    </row>
    <row r="21" spans="2:14" ht="30" customHeight="1" x14ac:dyDescent="0.2">
      <c r="B21" s="192" t="s">
        <v>92</v>
      </c>
      <c r="C21" s="194" t="s">
        <v>4</v>
      </c>
      <c r="D21" s="198">
        <f>'Aspir K'!J12</f>
        <v>35.344999999999999</v>
      </c>
      <c r="E21" s="198">
        <f>'Aspir K'!J18</f>
        <v>5.6</v>
      </c>
      <c r="F21" s="198">
        <f>'Aspir K'!J23</f>
        <v>22.295000000000002</v>
      </c>
      <c r="G21" s="198">
        <f>'Aspir K'!J30</f>
        <v>42.875</v>
      </c>
      <c r="H21" s="306">
        <f t="shared" si="1"/>
        <v>106.11500000000001</v>
      </c>
      <c r="I21" s="198">
        <f>'Aspir K'!E43</f>
        <v>1.4824929166666669</v>
      </c>
      <c r="J21" s="198">
        <f>'Aspir K'!E42</f>
        <v>177.89915000000002</v>
      </c>
      <c r="K21" s="195">
        <f>'Aspir K'!E40</f>
        <v>120</v>
      </c>
      <c r="L21" s="309">
        <v>0.85</v>
      </c>
      <c r="M21" s="311">
        <f>'Aspir K'!E44</f>
        <v>1.9272407916666672</v>
      </c>
      <c r="N21" s="347">
        <f>(M21+M22)/2</f>
        <v>1.8731533058333336</v>
      </c>
    </row>
    <row r="22" spans="2:14" ht="30" customHeight="1" thickBot="1" x14ac:dyDescent="0.25">
      <c r="B22" s="192" t="s">
        <v>92</v>
      </c>
      <c r="C22" s="194" t="s">
        <v>3</v>
      </c>
      <c r="D22" s="198">
        <f>'Aspir S'!J12</f>
        <v>37.050000000000004</v>
      </c>
      <c r="E22" s="198">
        <f>'Aspir S'!J19</f>
        <v>82.139999999999986</v>
      </c>
      <c r="F22" s="198">
        <f>'Aspir S'!J24</f>
        <v>25.07</v>
      </c>
      <c r="G22" s="198">
        <f>'Aspir S'!J32</f>
        <v>67.575000000000003</v>
      </c>
      <c r="H22" s="306">
        <f t="shared" si="1"/>
        <v>211.83499999999998</v>
      </c>
      <c r="I22" s="198">
        <f>'Aspir S'!E45</f>
        <v>1.3992813999999998</v>
      </c>
      <c r="J22" s="198">
        <f>'Aspir S'!E44</f>
        <v>349.82034999999996</v>
      </c>
      <c r="K22" s="195">
        <f>'Aspir S'!E42</f>
        <v>250</v>
      </c>
      <c r="L22" s="309">
        <v>0.85</v>
      </c>
      <c r="M22" s="311">
        <f>'Aspir S'!E46</f>
        <v>1.8190658199999998</v>
      </c>
      <c r="N22" s="348"/>
    </row>
    <row r="23" spans="2:14" ht="30" customHeight="1" thickBot="1" x14ac:dyDescent="0.25">
      <c r="B23" s="182" t="s">
        <v>129</v>
      </c>
      <c r="C23" s="317" t="s">
        <v>3</v>
      </c>
      <c r="D23" s="318">
        <f>'K.Soğan S'!J13</f>
        <v>46.77</v>
      </c>
      <c r="E23" s="318">
        <f>'K.Soğan S'!J21</f>
        <v>489.59</v>
      </c>
      <c r="F23" s="318">
        <f>'K.Soğan S'!J27</f>
        <v>557.5</v>
      </c>
      <c r="G23" s="318">
        <f>'K.Soğan S'!J35</f>
        <v>369.7</v>
      </c>
      <c r="H23" s="319">
        <f t="shared" si="1"/>
        <v>1463.5600000000002</v>
      </c>
      <c r="I23" s="329">
        <f>'K.Soğan S'!E48</f>
        <v>0.43509057777777782</v>
      </c>
      <c r="J23" s="318">
        <f>'K.Soğan S'!E47</f>
        <v>1957.9076000000002</v>
      </c>
      <c r="K23" s="320">
        <f>'K.Soğan S'!E45</f>
        <v>4500</v>
      </c>
      <c r="L23" s="321">
        <v>2</v>
      </c>
      <c r="M23" s="330">
        <f>'K.Soğan S'!E49</f>
        <v>0.56561775111111123</v>
      </c>
      <c r="N23" s="312">
        <f>M23</f>
        <v>0.56561775111111123</v>
      </c>
    </row>
    <row r="24" spans="2:14" ht="30" customHeight="1" thickBot="1" x14ac:dyDescent="0.25">
      <c r="B24" s="193" t="s">
        <v>229</v>
      </c>
      <c r="C24" s="196" t="s">
        <v>3</v>
      </c>
      <c r="D24" s="199">
        <f>Patates!J13</f>
        <v>46.77</v>
      </c>
      <c r="E24" s="199">
        <f>Patates!J21</f>
        <v>596.99</v>
      </c>
      <c r="F24" s="199">
        <f>Patates!J27</f>
        <v>601.25</v>
      </c>
      <c r="G24" s="199">
        <f>Patates!J35</f>
        <v>749.2</v>
      </c>
      <c r="H24" s="199">
        <f t="shared" ref="H24" si="3">D24+E24+F24+G24</f>
        <v>1994.21</v>
      </c>
      <c r="I24" s="313">
        <f>Patates!E48</f>
        <v>0.51999881999999997</v>
      </c>
      <c r="J24" s="199">
        <f>Patates!E47</f>
        <v>2599.9940999999999</v>
      </c>
      <c r="K24" s="197">
        <f>Patates!E45</f>
        <v>5000</v>
      </c>
      <c r="L24" s="310">
        <v>2</v>
      </c>
      <c r="M24" s="331">
        <f>Patates!E49</f>
        <v>0.67599846600000002</v>
      </c>
      <c r="N24" s="163">
        <f>M24</f>
        <v>0.67599846600000002</v>
      </c>
    </row>
    <row r="25" spans="2:14" ht="14.25" x14ac:dyDescent="0.2">
      <c r="B25" t="s">
        <v>73</v>
      </c>
      <c r="C25" s="17"/>
      <c r="D25" s="130"/>
      <c r="E25" s="130"/>
      <c r="F25" s="130"/>
      <c r="G25" s="130"/>
      <c r="H25" s="130"/>
      <c r="I25" s="130"/>
      <c r="J25" s="130"/>
      <c r="K25" s="18"/>
      <c r="L25" s="130"/>
    </row>
    <row r="26" spans="2:14" ht="14.25" x14ac:dyDescent="0.2">
      <c r="B26" s="16"/>
      <c r="C26" s="17"/>
      <c r="D26" s="130"/>
      <c r="E26" s="130"/>
      <c r="F26" s="130"/>
      <c r="G26" s="130"/>
      <c r="H26" s="130"/>
      <c r="I26" s="130"/>
      <c r="J26" s="130"/>
      <c r="K26" s="18"/>
      <c r="L26" s="130"/>
    </row>
    <row r="27" spans="2:14" ht="14.25" x14ac:dyDescent="0.2">
      <c r="B27" s="16"/>
      <c r="C27" s="17"/>
      <c r="D27" s="130"/>
      <c r="E27" s="130"/>
      <c r="F27" s="130"/>
      <c r="G27" s="130"/>
      <c r="H27" s="130"/>
      <c r="I27" s="130"/>
      <c r="J27" s="130"/>
      <c r="K27" s="18"/>
      <c r="L27" s="130"/>
    </row>
    <row r="28" spans="2:14" ht="14.25" x14ac:dyDescent="0.2">
      <c r="B28" s="16"/>
      <c r="C28" s="17"/>
      <c r="D28" s="130"/>
      <c r="E28" s="130"/>
      <c r="F28" s="130"/>
      <c r="G28" s="130"/>
      <c r="H28" s="130"/>
      <c r="I28" s="130"/>
      <c r="J28" s="130"/>
      <c r="K28" s="18"/>
      <c r="L28" s="130"/>
    </row>
    <row r="29" spans="2:14" ht="14.25" x14ac:dyDescent="0.2">
      <c r="B29" s="16"/>
      <c r="C29" s="17"/>
      <c r="D29" s="130"/>
      <c r="E29" s="130"/>
      <c r="F29" s="130"/>
      <c r="G29" s="130"/>
      <c r="H29" s="130"/>
      <c r="I29" s="130"/>
      <c r="J29" s="130"/>
      <c r="K29" s="18"/>
      <c r="L29" s="130"/>
    </row>
    <row r="30" spans="2:14" ht="14.25" x14ac:dyDescent="0.2">
      <c r="B30" s="16"/>
      <c r="C30" s="17"/>
      <c r="D30" s="130"/>
      <c r="E30" s="130"/>
      <c r="F30" s="130"/>
      <c r="G30" s="130"/>
      <c r="H30" s="130"/>
      <c r="I30" s="130"/>
      <c r="J30" s="130"/>
      <c r="K30" s="18"/>
      <c r="L30" s="130"/>
    </row>
    <row r="31" spans="2:14" ht="14.25" x14ac:dyDescent="0.2">
      <c r="B31" s="16"/>
      <c r="C31" s="17"/>
      <c r="D31" s="130"/>
      <c r="E31" s="130"/>
      <c r="F31" s="130"/>
      <c r="G31" s="130"/>
      <c r="H31" s="130"/>
      <c r="I31" s="130"/>
      <c r="J31" s="130"/>
      <c r="K31" s="18"/>
      <c r="L31" s="130"/>
    </row>
    <row r="32" spans="2:14" ht="14.25" x14ac:dyDescent="0.2">
      <c r="B32" s="16"/>
      <c r="C32" s="17"/>
      <c r="D32" s="130"/>
      <c r="E32" s="130"/>
      <c r="F32" s="130"/>
      <c r="G32" s="130"/>
      <c r="H32" s="130"/>
      <c r="I32" s="130"/>
      <c r="J32" s="130"/>
      <c r="K32" s="18"/>
      <c r="L32" s="130"/>
    </row>
    <row r="33" spans="2:12" ht="14.25" x14ac:dyDescent="0.2">
      <c r="B33" s="16"/>
      <c r="C33" s="17"/>
      <c r="D33" s="130"/>
      <c r="E33" s="130"/>
      <c r="F33" s="130"/>
      <c r="G33" s="130"/>
      <c r="H33" s="130"/>
      <c r="I33" s="130"/>
      <c r="J33" s="130"/>
      <c r="K33" s="18"/>
      <c r="L33" s="130"/>
    </row>
    <row r="34" spans="2:12" ht="14.25" x14ac:dyDescent="0.2">
      <c r="B34" s="16"/>
      <c r="C34" s="17"/>
      <c r="D34" s="130"/>
      <c r="E34" s="130"/>
      <c r="F34" s="130"/>
      <c r="G34" s="130"/>
      <c r="H34" s="130"/>
      <c r="I34" s="130"/>
      <c r="J34" s="130"/>
      <c r="K34" s="18"/>
      <c r="L34" s="130"/>
    </row>
    <row r="35" spans="2:12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"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15" x14ac:dyDescent="0.2">
      <c r="B39" s="365"/>
      <c r="C39" s="365"/>
      <c r="D39" s="365"/>
      <c r="E39" s="365"/>
      <c r="F39" s="365"/>
      <c r="G39" s="365"/>
      <c r="H39" s="365"/>
      <c r="I39" s="365"/>
      <c r="J39" s="365"/>
      <c r="K39" s="365"/>
      <c r="L39" s="365"/>
    </row>
    <row r="40" spans="2:12" ht="1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2:12" ht="12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">
      <c r="B42" s="346"/>
      <c r="C42" s="346"/>
      <c r="D42" s="346"/>
      <c r="E42" s="346"/>
      <c r="F42" s="346"/>
      <c r="G42" s="346"/>
      <c r="H42" s="346"/>
      <c r="I42" s="346"/>
      <c r="J42" s="346"/>
      <c r="K42" s="346"/>
      <c r="L42" s="364"/>
    </row>
    <row r="43" spans="2:12" x14ac:dyDescent="0.2"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64"/>
    </row>
    <row r="44" spans="2:12" ht="14.25" x14ac:dyDescent="0.2"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2:12" ht="14.25" x14ac:dyDescent="0.2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2:12" ht="14.25" x14ac:dyDescent="0.2"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2:12" ht="14.25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2:12" ht="14.25" x14ac:dyDescent="0.2">
      <c r="B48" s="16"/>
      <c r="C48" s="17"/>
      <c r="D48" s="17"/>
      <c r="E48" s="17"/>
      <c r="F48" s="17"/>
      <c r="G48" s="17"/>
      <c r="H48" s="17"/>
      <c r="I48" s="17"/>
      <c r="J48" s="17"/>
      <c r="K48" s="18"/>
      <c r="L48" s="17"/>
    </row>
    <row r="49" spans="2:12" ht="14.25" x14ac:dyDescent="0.2"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2:12" ht="14.25" x14ac:dyDescent="0.2"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2:12" ht="14.25" x14ac:dyDescent="0.2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2:12" ht="14.25" x14ac:dyDescent="0.2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2:12" ht="14.25" x14ac:dyDescent="0.2"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</row>
  </sheetData>
  <customSheetViews>
    <customSheetView guid="{8B6B86C0-2F1B-11D5-9D92-00606708EF55}" scale="75" showRuler="0" topLeftCell="A3">
      <selection activeCell="M11" sqref="M11"/>
      <pageMargins left="0" right="0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/>
    </customSheetView>
  </customSheetViews>
  <mergeCells count="29">
    <mergeCell ref="C42:C43"/>
    <mergeCell ref="I42:I43"/>
    <mergeCell ref="C5:C6"/>
    <mergeCell ref="K42:K43"/>
    <mergeCell ref="G42:G43"/>
    <mergeCell ref="E42:E43"/>
    <mergeCell ref="B39:L39"/>
    <mergeCell ref="L42:L43"/>
    <mergeCell ref="H42:H43"/>
    <mergeCell ref="J5:J6"/>
    <mergeCell ref="D42:D43"/>
    <mergeCell ref="J42:J43"/>
    <mergeCell ref="H5:H6"/>
    <mergeCell ref="B42:B43"/>
    <mergeCell ref="N21:N22"/>
    <mergeCell ref="M5:M6"/>
    <mergeCell ref="N9:N10"/>
    <mergeCell ref="B2:L2"/>
    <mergeCell ref="K5:K6"/>
    <mergeCell ref="L5:L6"/>
    <mergeCell ref="F5:F6"/>
    <mergeCell ref="E5:E6"/>
    <mergeCell ref="N5:N6"/>
    <mergeCell ref="I5:I6"/>
    <mergeCell ref="N7:N8"/>
    <mergeCell ref="G5:G6"/>
    <mergeCell ref="B5:B6"/>
    <mergeCell ref="F42:F43"/>
    <mergeCell ref="D5:D6"/>
  </mergeCells>
  <phoneticPr fontId="2" type="noConversion"/>
  <printOptions horizontalCentered="1" verticalCentered="1"/>
  <pageMargins left="0" right="0" top="0.98425196850393704" bottom="0.98425196850393704" header="0" footer="0"/>
  <pageSetup paperSize="9" scale="68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8"/>
  <sheetViews>
    <sheetView topLeftCell="A22" workbookViewId="0">
      <selection activeCell="R1" sqref="R1:R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10" style="25" customWidth="1"/>
    <col min="14" max="18" width="10" style="25" hidden="1" customWidth="1"/>
    <col min="19" max="20" width="10" style="25" customWidth="1"/>
    <col min="21" max="16384" width="9.140625" style="25"/>
  </cols>
  <sheetData>
    <row r="1" spans="2:17" s="19" customFormat="1" x14ac:dyDescent="0.2">
      <c r="B1" s="333" t="s">
        <v>234</v>
      </c>
      <c r="C1" s="333"/>
      <c r="D1" s="333"/>
      <c r="E1" s="333"/>
      <c r="F1" s="333"/>
      <c r="G1" s="333"/>
      <c r="H1" s="333"/>
      <c r="I1" s="333"/>
      <c r="J1" s="333"/>
    </row>
    <row r="2" spans="2:17" s="19" customFormat="1" ht="13.5" thickBot="1" x14ac:dyDescent="0.25"/>
    <row r="3" spans="2:17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7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7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7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7" x14ac:dyDescent="0.2">
      <c r="B7" s="35" t="s">
        <v>56</v>
      </c>
      <c r="C7" s="36" t="s">
        <v>59</v>
      </c>
      <c r="D7" s="37">
        <v>1</v>
      </c>
      <c r="E7" s="38">
        <v>0.24</v>
      </c>
      <c r="F7" s="38">
        <v>0.24</v>
      </c>
      <c r="G7" s="39">
        <v>1.7</v>
      </c>
      <c r="H7" s="36" t="s">
        <v>69</v>
      </c>
      <c r="I7" s="40">
        <f>P11</f>
        <v>4.08</v>
      </c>
      <c r="J7" s="41">
        <f>(G7*I7)+(E7*P12)</f>
        <v>9.3360000000000003</v>
      </c>
      <c r="K7" s="42" t="s">
        <v>37</v>
      </c>
      <c r="L7" s="33"/>
      <c r="P7" s="34"/>
    </row>
    <row r="8" spans="2:17" x14ac:dyDescent="0.2">
      <c r="B8" s="35" t="s">
        <v>11</v>
      </c>
      <c r="C8" s="36" t="s">
        <v>83</v>
      </c>
      <c r="D8" s="37"/>
      <c r="E8" s="38">
        <v>0.12</v>
      </c>
      <c r="F8" s="38">
        <v>0.12</v>
      </c>
      <c r="G8" s="39">
        <v>1</v>
      </c>
      <c r="H8" s="36" t="s">
        <v>69</v>
      </c>
      <c r="I8" s="40">
        <f>P11</f>
        <v>4.08</v>
      </c>
      <c r="J8" s="41">
        <f>(I8*G8)+(P12*E8)</f>
        <v>5.28</v>
      </c>
      <c r="K8" s="42" t="s">
        <v>39</v>
      </c>
      <c r="L8" s="33"/>
      <c r="P8" s="34"/>
    </row>
    <row r="9" spans="2:17" x14ac:dyDescent="0.2">
      <c r="B9" s="35" t="s">
        <v>12</v>
      </c>
      <c r="C9" s="36" t="s">
        <v>83</v>
      </c>
      <c r="D9" s="37">
        <v>2</v>
      </c>
      <c r="E9" s="38">
        <v>0.12</v>
      </c>
      <c r="F9" s="38">
        <v>0.12</v>
      </c>
      <c r="G9" s="39">
        <v>0.7</v>
      </c>
      <c r="H9" s="36" t="s">
        <v>69</v>
      </c>
      <c r="I9" s="40">
        <f>P11</f>
        <v>4.08</v>
      </c>
      <c r="J9" s="41">
        <f>((E9*P12)+(P11*G9))*D9</f>
        <v>8.1120000000000001</v>
      </c>
      <c r="K9" s="42" t="s">
        <v>38</v>
      </c>
      <c r="L9" s="33"/>
      <c r="P9" s="34"/>
    </row>
    <row r="10" spans="2:17" x14ac:dyDescent="0.2">
      <c r="B10" s="35" t="s">
        <v>13</v>
      </c>
      <c r="C10" s="36" t="s">
        <v>83</v>
      </c>
      <c r="D10" s="37">
        <v>1</v>
      </c>
      <c r="E10" s="38">
        <v>0.1</v>
      </c>
      <c r="F10" s="38">
        <v>0.1</v>
      </c>
      <c r="G10" s="39">
        <v>0.7</v>
      </c>
      <c r="H10" s="36" t="s">
        <v>69</v>
      </c>
      <c r="I10" s="40">
        <f>P11</f>
        <v>4.08</v>
      </c>
      <c r="J10" s="41">
        <f>(I10*G10)+(P11*E10)</f>
        <v>3.2639999999999998</v>
      </c>
      <c r="K10" s="42" t="s">
        <v>167</v>
      </c>
      <c r="L10" s="33"/>
      <c r="P10" s="25" t="s">
        <v>221</v>
      </c>
      <c r="Q10" s="25" t="s">
        <v>222</v>
      </c>
    </row>
    <row r="11" spans="2:17" ht="13.5" thickBot="1" x14ac:dyDescent="0.25">
      <c r="B11" s="43" t="s">
        <v>13</v>
      </c>
      <c r="C11" s="44" t="s">
        <v>83</v>
      </c>
      <c r="D11" s="45"/>
      <c r="E11" s="46">
        <v>0.1</v>
      </c>
      <c r="F11" s="46"/>
      <c r="G11" s="47"/>
      <c r="H11" s="44" t="s">
        <v>44</v>
      </c>
      <c r="I11" s="48">
        <f>P12</f>
        <v>10</v>
      </c>
      <c r="J11" s="41">
        <f>P12*E11</f>
        <v>1</v>
      </c>
      <c r="K11" s="49" t="s">
        <v>166</v>
      </c>
      <c r="L11" s="33"/>
      <c r="N11" s="25" t="s">
        <v>87</v>
      </c>
      <c r="P11" s="176">
        <v>4.08</v>
      </c>
      <c r="Q11" s="176">
        <v>4.5999999999999996</v>
      </c>
    </row>
    <row r="12" spans="2:17" ht="13.5" thickBot="1" x14ac:dyDescent="0.25">
      <c r="B12" s="50" t="s">
        <v>14</v>
      </c>
      <c r="C12" s="51"/>
      <c r="D12" s="52"/>
      <c r="E12" s="53">
        <f>SUM(E7:E11)</f>
        <v>0.67999999999999994</v>
      </c>
      <c r="F12" s="54">
        <f>SUM(F7:F11)</f>
        <v>0.57999999999999996</v>
      </c>
      <c r="G12" s="55"/>
      <c r="H12" s="52"/>
      <c r="I12" s="56"/>
      <c r="J12" s="57">
        <f>SUM(J7:J11)</f>
        <v>26.992000000000001</v>
      </c>
      <c r="K12" s="58"/>
      <c r="L12" s="33"/>
      <c r="N12" s="25" t="s">
        <v>177</v>
      </c>
      <c r="P12" s="34">
        <v>10</v>
      </c>
    </row>
    <row r="13" spans="2:17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62</v>
      </c>
      <c r="P13" s="34">
        <v>14</v>
      </c>
    </row>
    <row r="14" spans="2:17" x14ac:dyDescent="0.2">
      <c r="B14" s="64" t="s">
        <v>16</v>
      </c>
      <c r="C14" s="65" t="s">
        <v>58</v>
      </c>
      <c r="D14" s="66">
        <v>1</v>
      </c>
      <c r="E14" s="67">
        <v>0.09</v>
      </c>
      <c r="F14" s="67">
        <v>0.09</v>
      </c>
      <c r="G14" s="68">
        <v>0.3</v>
      </c>
      <c r="H14" s="65" t="s">
        <v>69</v>
      </c>
      <c r="I14" s="69">
        <f>Q11</f>
        <v>4.5999999999999996</v>
      </c>
      <c r="J14" s="41">
        <f>(P12*E14)+(G14*I14)</f>
        <v>2.2799999999999998</v>
      </c>
      <c r="K14" s="70" t="s">
        <v>42</v>
      </c>
      <c r="L14" s="33"/>
      <c r="N14" s="25" t="s">
        <v>21</v>
      </c>
      <c r="P14" s="34">
        <v>35</v>
      </c>
    </row>
    <row r="15" spans="2:17" x14ac:dyDescent="0.2">
      <c r="B15" s="35" t="s">
        <v>16</v>
      </c>
      <c r="C15" s="36" t="s">
        <v>58</v>
      </c>
      <c r="D15" s="37"/>
      <c r="E15" s="38">
        <v>0.09</v>
      </c>
      <c r="F15" s="38"/>
      <c r="G15" s="39"/>
      <c r="H15" s="36" t="s">
        <v>44</v>
      </c>
      <c r="I15" s="69">
        <f>P12</f>
        <v>10</v>
      </c>
      <c r="J15" s="40">
        <f>I15*E15</f>
        <v>0.89999999999999991</v>
      </c>
      <c r="K15" s="42" t="s">
        <v>41</v>
      </c>
      <c r="L15" s="33"/>
      <c r="N15" s="25" t="s">
        <v>28</v>
      </c>
      <c r="P15" s="34">
        <v>45</v>
      </c>
    </row>
    <row r="16" spans="2:17" x14ac:dyDescent="0.2">
      <c r="B16" s="64" t="s">
        <v>17</v>
      </c>
      <c r="C16" s="65" t="s">
        <v>36</v>
      </c>
      <c r="D16" s="66">
        <v>1</v>
      </c>
      <c r="E16" s="67">
        <v>0.08</v>
      </c>
      <c r="F16" s="67">
        <v>0.08</v>
      </c>
      <c r="G16" s="68">
        <v>0.3</v>
      </c>
      <c r="H16" s="65" t="s">
        <v>69</v>
      </c>
      <c r="I16" s="69">
        <f>Q11</f>
        <v>4.5999999999999996</v>
      </c>
      <c r="J16" s="41">
        <f>(G16*I16)</f>
        <v>1.38</v>
      </c>
      <c r="K16" s="70" t="s">
        <v>43</v>
      </c>
      <c r="L16" s="33"/>
      <c r="N16" s="25" t="s">
        <v>79</v>
      </c>
      <c r="O16" s="71"/>
      <c r="P16" s="34">
        <v>1.5</v>
      </c>
    </row>
    <row r="17" spans="2:26" ht="13.5" thickBot="1" x14ac:dyDescent="0.25">
      <c r="B17" s="35" t="s">
        <v>17</v>
      </c>
      <c r="C17" s="36" t="s">
        <v>36</v>
      </c>
      <c r="D17" s="37"/>
      <c r="E17" s="38">
        <v>0.08</v>
      </c>
      <c r="F17" s="72"/>
      <c r="G17" s="39"/>
      <c r="H17" s="36" t="s">
        <v>44</v>
      </c>
      <c r="I17" s="69">
        <f>P12</f>
        <v>10</v>
      </c>
      <c r="J17" s="41">
        <f>(I17*E17)</f>
        <v>0.8</v>
      </c>
      <c r="K17" s="73" t="s">
        <v>41</v>
      </c>
      <c r="L17" s="33"/>
      <c r="N17" s="25" t="s">
        <v>63</v>
      </c>
      <c r="P17" s="34">
        <v>2.5</v>
      </c>
      <c r="Q17" s="74" t="s">
        <v>203</v>
      </c>
      <c r="R17" s="25" t="s">
        <v>204</v>
      </c>
    </row>
    <row r="18" spans="2:26" ht="13.5" thickBot="1" x14ac:dyDescent="0.25">
      <c r="B18" s="50" t="s">
        <v>14</v>
      </c>
      <c r="C18" s="75"/>
      <c r="D18" s="76"/>
      <c r="E18" s="54">
        <f>SUM(E14:E17)</f>
        <v>0.34</v>
      </c>
      <c r="F18" s="54">
        <f>SUM(F14:F17)</f>
        <v>0.16999999999999998</v>
      </c>
      <c r="G18" s="77"/>
      <c r="H18" s="51"/>
      <c r="I18" s="78"/>
      <c r="J18" s="57">
        <f>SUM(J14:J17)</f>
        <v>5.3599999999999994</v>
      </c>
      <c r="K18" s="58"/>
      <c r="N18" s="25" t="s">
        <v>65</v>
      </c>
    </row>
    <row r="19" spans="2:26" x14ac:dyDescent="0.2">
      <c r="B19" s="3" t="s">
        <v>18</v>
      </c>
      <c r="C19" s="30"/>
      <c r="D19" s="31"/>
      <c r="E19" s="61"/>
      <c r="F19" s="61"/>
      <c r="G19" s="62"/>
      <c r="H19" s="59"/>
      <c r="I19" s="63"/>
      <c r="J19" s="63"/>
      <c r="K19" s="32"/>
      <c r="L19" s="33"/>
      <c r="N19" s="25" t="s">
        <v>95</v>
      </c>
      <c r="P19" s="34">
        <v>1.7</v>
      </c>
    </row>
    <row r="20" spans="2:26" x14ac:dyDescent="0.2">
      <c r="B20" s="64" t="s">
        <v>19</v>
      </c>
      <c r="C20" s="65" t="s">
        <v>51</v>
      </c>
      <c r="D20" s="66">
        <v>1</v>
      </c>
      <c r="E20" s="67">
        <v>0.12</v>
      </c>
      <c r="F20" s="67">
        <v>0.12</v>
      </c>
      <c r="G20" s="68"/>
      <c r="H20" s="65" t="s">
        <v>69</v>
      </c>
      <c r="I20" s="69">
        <f>P13</f>
        <v>14</v>
      </c>
      <c r="J20" s="41">
        <f>(I20*D20)</f>
        <v>14</v>
      </c>
      <c r="K20" s="70" t="s">
        <v>46</v>
      </c>
      <c r="L20" s="33"/>
      <c r="N20" s="25" t="s">
        <v>96</v>
      </c>
      <c r="P20" s="34">
        <v>20</v>
      </c>
    </row>
    <row r="21" spans="2:26" x14ac:dyDescent="0.2">
      <c r="B21" s="64" t="s">
        <v>20</v>
      </c>
      <c r="C21" s="65" t="s">
        <v>51</v>
      </c>
      <c r="D21" s="79"/>
      <c r="E21" s="67">
        <v>0.12</v>
      </c>
      <c r="F21" s="67"/>
      <c r="G21" s="68"/>
      <c r="H21" s="65" t="s">
        <v>44</v>
      </c>
      <c r="I21" s="69">
        <f>P12</f>
        <v>10</v>
      </c>
      <c r="J21" s="40">
        <f>(I21*E21)</f>
        <v>1.2</v>
      </c>
      <c r="K21" s="70" t="s">
        <v>41</v>
      </c>
      <c r="L21" s="33"/>
      <c r="N21" s="25" t="s">
        <v>202</v>
      </c>
      <c r="O21" s="71"/>
      <c r="P21" s="34">
        <v>10</v>
      </c>
      <c r="Q21" s="71"/>
    </row>
    <row r="22" spans="2:26" ht="13.5" thickBot="1" x14ac:dyDescent="0.25">
      <c r="B22" s="43" t="s">
        <v>21</v>
      </c>
      <c r="C22" s="44" t="s">
        <v>51</v>
      </c>
      <c r="D22" s="80"/>
      <c r="E22" s="81">
        <v>0.04</v>
      </c>
      <c r="F22" s="81">
        <v>0.04</v>
      </c>
      <c r="G22" s="47"/>
      <c r="H22" s="44" t="s">
        <v>45</v>
      </c>
      <c r="I22" s="82">
        <f>P14/2000</f>
        <v>1.7500000000000002E-2</v>
      </c>
      <c r="J22" s="40">
        <f>I22*E41</f>
        <v>3.8500000000000005</v>
      </c>
      <c r="K22" s="83" t="s">
        <v>47</v>
      </c>
      <c r="L22" s="33"/>
      <c r="O22" s="71"/>
      <c r="P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ht="13.5" thickBot="1" x14ac:dyDescent="0.25">
      <c r="B23" s="22" t="s">
        <v>14</v>
      </c>
      <c r="C23" s="75"/>
      <c r="D23" s="86"/>
      <c r="E23" s="87">
        <f>SUM(E20:E22)</f>
        <v>0.27999999999999997</v>
      </c>
      <c r="F23" s="87">
        <f>SUM(F20:F22)</f>
        <v>0.16</v>
      </c>
      <c r="G23" s="75"/>
      <c r="H23" s="88"/>
      <c r="I23" s="89"/>
      <c r="J23" s="57">
        <f>SUM(J20:J22)</f>
        <v>19.05</v>
      </c>
      <c r="K23" s="90"/>
      <c r="L23" s="33"/>
      <c r="O23" s="71"/>
      <c r="Q23" s="71"/>
    </row>
    <row r="24" spans="2:26" x14ac:dyDescent="0.2">
      <c r="B24" s="3" t="s">
        <v>22</v>
      </c>
      <c r="C24" s="91"/>
      <c r="D24" s="31"/>
      <c r="E24" s="30"/>
      <c r="F24" s="30"/>
      <c r="G24" s="30"/>
      <c r="H24" s="59"/>
      <c r="I24" s="63"/>
      <c r="J24" s="63"/>
      <c r="K24" s="32"/>
      <c r="L24" s="33"/>
      <c r="O24" s="92"/>
      <c r="Q24" s="71"/>
    </row>
    <row r="25" spans="2:26" x14ac:dyDescent="0.2">
      <c r="B25" s="64" t="s">
        <v>23</v>
      </c>
      <c r="C25" s="93"/>
      <c r="D25" s="79"/>
      <c r="E25" s="94"/>
      <c r="F25" s="94"/>
      <c r="G25" s="68">
        <f>P20</f>
        <v>20</v>
      </c>
      <c r="H25" s="65" t="s">
        <v>45</v>
      </c>
      <c r="I25" s="69">
        <f>P19</f>
        <v>1.7</v>
      </c>
      <c r="J25" s="41">
        <f>(I25*G25)</f>
        <v>34</v>
      </c>
      <c r="K25" s="70" t="s">
        <v>77</v>
      </c>
      <c r="L25" s="33"/>
    </row>
    <row r="26" spans="2:26" x14ac:dyDescent="0.2">
      <c r="B26" s="64" t="s">
        <v>74</v>
      </c>
      <c r="C26" s="93"/>
      <c r="D26" s="79"/>
      <c r="E26" s="94"/>
      <c r="F26" s="94"/>
      <c r="G26" s="68">
        <v>15</v>
      </c>
      <c r="H26" s="65" t="s">
        <v>45</v>
      </c>
      <c r="I26" s="69">
        <f>Q29</f>
        <v>1.45</v>
      </c>
      <c r="J26" s="41">
        <f>(I26*G26)</f>
        <v>21.75</v>
      </c>
      <c r="K26" s="70" t="s">
        <v>48</v>
      </c>
      <c r="L26" s="33"/>
    </row>
    <row r="27" spans="2:26" x14ac:dyDescent="0.2">
      <c r="B27" s="64" t="s">
        <v>75</v>
      </c>
      <c r="C27" s="93"/>
      <c r="D27" s="79"/>
      <c r="E27" s="94"/>
      <c r="F27" s="94"/>
      <c r="G27" s="68">
        <f>O29</f>
        <v>15</v>
      </c>
      <c r="H27" s="65" t="s">
        <v>45</v>
      </c>
      <c r="I27" s="69">
        <f>Q30</f>
        <v>1.05</v>
      </c>
      <c r="J27" s="41">
        <f>(I27*G27)</f>
        <v>15.75</v>
      </c>
      <c r="K27" s="70" t="s">
        <v>76</v>
      </c>
      <c r="L27" s="33"/>
      <c r="O27" s="71" t="s">
        <v>84</v>
      </c>
      <c r="P27" s="71" t="s">
        <v>8</v>
      </c>
      <c r="Q27" s="71" t="s">
        <v>64</v>
      </c>
    </row>
    <row r="28" spans="2:26" x14ac:dyDescent="0.2">
      <c r="B28" s="64" t="s">
        <v>202</v>
      </c>
      <c r="C28" s="93"/>
      <c r="D28" s="79"/>
      <c r="E28" s="94"/>
      <c r="F28" s="94"/>
      <c r="G28" s="68">
        <v>0.1</v>
      </c>
      <c r="H28" s="65" t="s">
        <v>45</v>
      </c>
      <c r="I28" s="69">
        <f>P21</f>
        <v>10</v>
      </c>
      <c r="J28" s="41">
        <f>I28*G28</f>
        <v>1</v>
      </c>
      <c r="K28" s="70" t="s">
        <v>202</v>
      </c>
      <c r="L28" s="33"/>
      <c r="O28" s="71"/>
      <c r="P28" s="71"/>
      <c r="Q28" s="71"/>
    </row>
    <row r="29" spans="2:26" x14ac:dyDescent="0.2">
      <c r="B29" s="64" t="s">
        <v>79</v>
      </c>
      <c r="C29" s="93"/>
      <c r="D29" s="66">
        <v>1</v>
      </c>
      <c r="E29" s="94"/>
      <c r="F29" s="94"/>
      <c r="G29" s="97">
        <v>0.05</v>
      </c>
      <c r="H29" s="65" t="s">
        <v>69</v>
      </c>
      <c r="I29" s="69">
        <f>P16</f>
        <v>1.5</v>
      </c>
      <c r="J29" s="41">
        <f>P16</f>
        <v>1.5</v>
      </c>
      <c r="K29" s="70" t="s">
        <v>80</v>
      </c>
      <c r="L29" s="33"/>
      <c r="N29" s="33" t="s">
        <v>48</v>
      </c>
      <c r="O29" s="71">
        <v>15</v>
      </c>
      <c r="P29" s="34">
        <f>(Q29*O29)</f>
        <v>21.75</v>
      </c>
      <c r="Q29" s="171">
        <v>1.45</v>
      </c>
    </row>
    <row r="30" spans="2:26" ht="13.5" thickBot="1" x14ac:dyDescent="0.25">
      <c r="B30" s="35" t="s">
        <v>24</v>
      </c>
      <c r="C30" s="149"/>
      <c r="D30" s="96"/>
      <c r="E30" s="97"/>
      <c r="F30" s="97"/>
      <c r="G30" s="97">
        <v>0.05</v>
      </c>
      <c r="H30" s="36" t="s">
        <v>45</v>
      </c>
      <c r="I30" s="40">
        <f>P17</f>
        <v>2.5</v>
      </c>
      <c r="J30" s="41">
        <f>(I30*G30)</f>
        <v>0.125</v>
      </c>
      <c r="K30" s="42" t="s">
        <v>49</v>
      </c>
      <c r="L30" s="33"/>
      <c r="N30" s="25" t="s">
        <v>78</v>
      </c>
      <c r="O30" s="71">
        <v>15</v>
      </c>
      <c r="P30" s="34">
        <f>(Q30*O30)</f>
        <v>15.75</v>
      </c>
      <c r="Q30" s="171">
        <v>1.05</v>
      </c>
    </row>
    <row r="31" spans="2:26" ht="13.5" thickBot="1" x14ac:dyDescent="0.25">
      <c r="B31" s="50" t="s">
        <v>14</v>
      </c>
      <c r="C31" s="103"/>
      <c r="D31" s="76"/>
      <c r="E31" s="75"/>
      <c r="F31" s="75"/>
      <c r="G31" s="75"/>
      <c r="H31" s="75"/>
      <c r="I31" s="75"/>
      <c r="J31" s="57">
        <f>SUM(J25:J30)</f>
        <v>74.125</v>
      </c>
      <c r="K31" s="58"/>
      <c r="L31" s="33"/>
      <c r="Q31" s="74"/>
    </row>
    <row r="32" spans="2:26" ht="13.5" thickBot="1" x14ac:dyDescent="0.25">
      <c r="B32" s="50" t="s">
        <v>25</v>
      </c>
      <c r="C32" s="104"/>
      <c r="D32" s="76"/>
      <c r="E32" s="75"/>
      <c r="F32" s="75"/>
      <c r="G32" s="75"/>
      <c r="H32" s="75"/>
      <c r="I32" s="75"/>
      <c r="J32" s="57">
        <f>(J12+J18+J23+J31)</f>
        <v>125.527</v>
      </c>
      <c r="K32" s="58"/>
      <c r="L32" s="33"/>
    </row>
    <row r="33" spans="2:12" x14ac:dyDescent="0.2">
      <c r="B33" s="3" t="s">
        <v>26</v>
      </c>
      <c r="C33" s="91"/>
      <c r="D33" s="31"/>
      <c r="E33" s="30"/>
      <c r="F33" s="30"/>
      <c r="G33" s="30"/>
      <c r="H33" s="30"/>
      <c r="I33" s="30"/>
      <c r="J33" s="63"/>
      <c r="K33" s="32"/>
      <c r="L33" s="33"/>
    </row>
    <row r="34" spans="2:12" x14ac:dyDescent="0.2">
      <c r="B34" s="35" t="s">
        <v>27</v>
      </c>
      <c r="C34" s="95"/>
      <c r="D34" s="96"/>
      <c r="E34" s="97"/>
      <c r="F34" s="97"/>
      <c r="G34" s="97"/>
      <c r="H34" s="97"/>
      <c r="I34" s="97"/>
      <c r="J34" s="40">
        <f>J32*0.1</f>
        <v>12.552700000000002</v>
      </c>
      <c r="K34" s="42"/>
      <c r="L34" s="33"/>
    </row>
    <row r="35" spans="2:12" x14ac:dyDescent="0.2">
      <c r="B35" s="35" t="s">
        <v>28</v>
      </c>
      <c r="C35" s="95"/>
      <c r="D35" s="96"/>
      <c r="E35" s="97"/>
      <c r="F35" s="97"/>
      <c r="G35" s="97"/>
      <c r="H35" s="97"/>
      <c r="I35" s="97"/>
      <c r="J35" s="40">
        <f>P15</f>
        <v>45</v>
      </c>
      <c r="K35" s="42"/>
      <c r="L35" s="33"/>
    </row>
    <row r="36" spans="2:12" x14ac:dyDescent="0.2">
      <c r="B36" s="35" t="s">
        <v>29</v>
      </c>
      <c r="C36" s="95"/>
      <c r="D36" s="96"/>
      <c r="E36" s="97"/>
      <c r="F36" s="97"/>
      <c r="G36" s="97"/>
      <c r="H36" s="97"/>
      <c r="I36" s="97"/>
      <c r="J36" s="40">
        <f>((J32+J34+J35)*0.07)</f>
        <v>12.815579000000001</v>
      </c>
      <c r="K36" s="42"/>
      <c r="L36" s="33"/>
    </row>
    <row r="37" spans="2:12" x14ac:dyDescent="0.2">
      <c r="B37" s="105" t="s">
        <v>30</v>
      </c>
      <c r="C37" s="93"/>
      <c r="D37" s="106"/>
      <c r="E37" s="107"/>
      <c r="F37" s="107"/>
      <c r="G37" s="107"/>
      <c r="H37" s="107"/>
      <c r="I37" s="107"/>
      <c r="J37" s="108">
        <f>((J32+J34+J35)*0.03)</f>
        <v>5.4923909999999996</v>
      </c>
      <c r="K37" s="83"/>
      <c r="L37" s="33"/>
    </row>
    <row r="38" spans="2:12" ht="13.5" thickBot="1" x14ac:dyDescent="0.25">
      <c r="B38" s="109" t="s">
        <v>14</v>
      </c>
      <c r="C38" s="103"/>
      <c r="D38" s="110"/>
      <c r="E38" s="111"/>
      <c r="F38" s="111"/>
      <c r="G38" s="111"/>
      <c r="H38" s="111"/>
      <c r="I38" s="111"/>
      <c r="J38" s="112">
        <f>SUM(J34:J37)</f>
        <v>75.860669999999999</v>
      </c>
      <c r="K38" s="113"/>
      <c r="L38" s="33"/>
    </row>
    <row r="39" spans="2:12" ht="13.5" thickBot="1" x14ac:dyDescent="0.25">
      <c r="B39" s="2" t="s">
        <v>31</v>
      </c>
      <c r="C39" s="104"/>
      <c r="D39" s="76"/>
      <c r="E39" s="54"/>
      <c r="F39" s="54"/>
      <c r="G39" s="75"/>
      <c r="H39" s="75"/>
      <c r="I39" s="75"/>
      <c r="J39" s="57">
        <f>(J32+J38)</f>
        <v>201.38767000000001</v>
      </c>
      <c r="K39" s="58"/>
      <c r="L39" s="33"/>
    </row>
    <row r="40" spans="2:12" ht="13.5" thickBot="1" x14ac:dyDescent="0.25">
      <c r="B40" s="33"/>
      <c r="C40" s="33"/>
      <c r="D40" s="33"/>
      <c r="E40" s="114"/>
      <c r="F40" s="114"/>
      <c r="G40" s="33"/>
      <c r="H40" s="33"/>
      <c r="I40" s="33"/>
      <c r="J40" s="33"/>
      <c r="K40" s="33"/>
      <c r="L40" s="33"/>
    </row>
    <row r="41" spans="2:12" x14ac:dyDescent="0.2">
      <c r="B41" s="115" t="s">
        <v>32</v>
      </c>
      <c r="C41" s="116" t="s">
        <v>67</v>
      </c>
      <c r="D41" s="60"/>
      <c r="E41" s="117">
        <v>220</v>
      </c>
      <c r="F41" s="60"/>
      <c r="G41" s="118"/>
      <c r="H41" s="118"/>
      <c r="I41" s="118"/>
      <c r="J41" s="118"/>
      <c r="K41" s="32"/>
      <c r="L41" s="33"/>
    </row>
    <row r="42" spans="2:12" x14ac:dyDescent="0.2">
      <c r="B42" s="35" t="s">
        <v>33</v>
      </c>
      <c r="C42" s="119" t="s">
        <v>68</v>
      </c>
      <c r="D42" s="119"/>
      <c r="E42" s="120">
        <v>10</v>
      </c>
      <c r="F42" s="121"/>
      <c r="G42" s="166" t="s">
        <v>250</v>
      </c>
      <c r="H42" s="33"/>
      <c r="I42" s="33"/>
      <c r="J42" s="33"/>
      <c r="K42" s="83"/>
      <c r="L42" s="33"/>
    </row>
    <row r="43" spans="2:12" x14ac:dyDescent="0.2">
      <c r="B43" s="35" t="s">
        <v>34</v>
      </c>
      <c r="C43" s="119" t="s">
        <v>68</v>
      </c>
      <c r="D43" s="119"/>
      <c r="E43" s="120">
        <f>(J39-E42)</f>
        <v>191.38767000000001</v>
      </c>
      <c r="F43" s="121"/>
      <c r="G43" s="122"/>
      <c r="H43" s="122"/>
      <c r="I43" s="122"/>
      <c r="J43" s="122"/>
      <c r="K43" s="42"/>
      <c r="L43" s="33"/>
    </row>
    <row r="44" spans="2:12" x14ac:dyDescent="0.2">
      <c r="B44" s="35" t="s">
        <v>34</v>
      </c>
      <c r="C44" s="119" t="s">
        <v>35</v>
      </c>
      <c r="D44" s="119"/>
      <c r="E44" s="120">
        <f>(E43/E41)</f>
        <v>0.86994395454545459</v>
      </c>
      <c r="F44" s="121"/>
      <c r="G44" s="33"/>
      <c r="H44" s="33"/>
      <c r="I44" s="33"/>
      <c r="J44" s="33"/>
      <c r="K44" s="83"/>
      <c r="L44" s="33"/>
    </row>
    <row r="45" spans="2:12" ht="13.5" thickBot="1" x14ac:dyDescent="0.25">
      <c r="B45" s="109" t="s">
        <v>81</v>
      </c>
      <c r="C45" s="123" t="s">
        <v>35</v>
      </c>
      <c r="D45" s="123"/>
      <c r="E45" s="124">
        <f>E44*1.3</f>
        <v>1.1309271409090911</v>
      </c>
      <c r="F45" s="125"/>
      <c r="G45" s="99"/>
      <c r="H45" s="99"/>
      <c r="I45" s="99"/>
      <c r="J45" s="99"/>
      <c r="K45" s="126"/>
      <c r="L45" s="33"/>
    </row>
    <row r="46" spans="2:12" x14ac:dyDescent="0.2">
      <c r="L46" s="33"/>
    </row>
    <row r="47" spans="2:12" x14ac:dyDescent="0.2">
      <c r="B47" s="33"/>
      <c r="C47" s="24"/>
      <c r="D47" s="24"/>
      <c r="E47" s="127"/>
      <c r="F47" s="127"/>
      <c r="G47" s="33"/>
      <c r="H47" s="33"/>
      <c r="I47" s="33"/>
      <c r="J47" s="33"/>
      <c r="K47" s="33"/>
      <c r="L47" s="33"/>
    </row>
    <row r="48" spans="2:12" x14ac:dyDescent="0.2">
      <c r="B48" s="25" t="s">
        <v>82</v>
      </c>
      <c r="C48" s="24"/>
      <c r="D48" s="24"/>
      <c r="E48" s="127"/>
      <c r="F48" s="127"/>
      <c r="G48" s="33"/>
      <c r="H48" s="33"/>
      <c r="I48" s="33"/>
      <c r="J48" s="33"/>
      <c r="K48" s="33"/>
      <c r="L48" s="33"/>
    </row>
    <row r="49" spans="2:12" x14ac:dyDescent="0.2">
      <c r="B49" s="25" t="s">
        <v>217</v>
      </c>
      <c r="L49" s="33"/>
    </row>
    <row r="50" spans="2:12" x14ac:dyDescent="0.2">
      <c r="L50" s="33"/>
    </row>
    <row r="72" spans="9:10" x14ac:dyDescent="0.2">
      <c r="I72" s="343"/>
      <c r="J72" s="343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</sheetData>
  <customSheetViews>
    <customSheetView guid="{8B6B86C0-2F1B-11D5-9D92-00606708EF55}" scale="75" showRuler="0" topLeftCell="A14">
      <selection activeCell="G18" sqref="G18"/>
      <pageMargins left="0.74803149606299213" right="0.74803149606299213" top="0.39370078740157483" bottom="0.39370078740157483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7:J77"/>
    <mergeCell ref="I78:J78"/>
    <mergeCell ref="I72:J72"/>
    <mergeCell ref="I73:J73"/>
    <mergeCell ref="I74:J74"/>
    <mergeCell ref="I75:J75"/>
    <mergeCell ref="B1:J1"/>
    <mergeCell ref="C3:D5"/>
    <mergeCell ref="E3:F3"/>
    <mergeCell ref="E4:F4"/>
    <mergeCell ref="I76:J76"/>
  </mergeCells>
  <phoneticPr fontId="2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86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8"/>
  <sheetViews>
    <sheetView topLeftCell="A25" workbookViewId="0">
      <selection activeCell="N1" sqref="N1:R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7" width="9.140625" style="25" customWidth="1"/>
    <col min="8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10" style="25" customWidth="1"/>
    <col min="14" max="18" width="10" style="25" hidden="1" customWidth="1"/>
    <col min="19" max="19" width="10" style="25" customWidth="1"/>
    <col min="20" max="16384" width="9.140625" style="25"/>
  </cols>
  <sheetData>
    <row r="1" spans="2:17" s="19" customFormat="1" x14ac:dyDescent="0.2">
      <c r="B1" s="333" t="s">
        <v>235</v>
      </c>
      <c r="C1" s="333"/>
      <c r="D1" s="333"/>
      <c r="E1" s="333"/>
      <c r="F1" s="333"/>
      <c r="G1" s="333"/>
      <c r="H1" s="333"/>
      <c r="I1" s="333"/>
    </row>
    <row r="2" spans="2:17" s="19" customFormat="1" ht="13.5" thickBot="1" x14ac:dyDescent="0.25"/>
    <row r="3" spans="2:17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7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7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7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7" x14ac:dyDescent="0.2">
      <c r="B7" s="35" t="s">
        <v>56</v>
      </c>
      <c r="C7" s="36" t="s">
        <v>59</v>
      </c>
      <c r="D7" s="37">
        <v>1</v>
      </c>
      <c r="E7" s="38">
        <v>0.24</v>
      </c>
      <c r="F7" s="38">
        <v>0.24</v>
      </c>
      <c r="G7" s="39">
        <v>1.7</v>
      </c>
      <c r="H7" s="36" t="s">
        <v>69</v>
      </c>
      <c r="I7" s="40">
        <f>P11</f>
        <v>4.08</v>
      </c>
      <c r="J7" s="41">
        <f>(G7*I7)+(E7*P12)</f>
        <v>9.3360000000000003</v>
      </c>
      <c r="K7" s="42" t="s">
        <v>37</v>
      </c>
      <c r="L7" s="33"/>
      <c r="P7" s="34"/>
    </row>
    <row r="8" spans="2:17" x14ac:dyDescent="0.2">
      <c r="B8" s="35" t="s">
        <v>11</v>
      </c>
      <c r="C8" s="36" t="s">
        <v>83</v>
      </c>
      <c r="D8" s="37"/>
      <c r="E8" s="38">
        <v>0.12</v>
      </c>
      <c r="F8" s="38">
        <v>0.12</v>
      </c>
      <c r="G8" s="39">
        <v>1</v>
      </c>
      <c r="H8" s="36" t="s">
        <v>69</v>
      </c>
      <c r="I8" s="40">
        <f>P11</f>
        <v>4.08</v>
      </c>
      <c r="J8" s="41">
        <f>(I8*G8)+(P12*E8)</f>
        <v>5.28</v>
      </c>
      <c r="K8" s="42" t="s">
        <v>39</v>
      </c>
      <c r="L8" s="33"/>
      <c r="P8" s="34"/>
    </row>
    <row r="9" spans="2:17" x14ac:dyDescent="0.2">
      <c r="B9" s="35" t="s">
        <v>12</v>
      </c>
      <c r="C9" s="36" t="s">
        <v>83</v>
      </c>
      <c r="D9" s="37">
        <v>2</v>
      </c>
      <c r="E9" s="38">
        <v>0.12</v>
      </c>
      <c r="F9" s="38">
        <v>0.12</v>
      </c>
      <c r="G9" s="39">
        <v>0.7</v>
      </c>
      <c r="H9" s="36" t="s">
        <v>69</v>
      </c>
      <c r="I9" s="40">
        <f>P11</f>
        <v>4.08</v>
      </c>
      <c r="J9" s="41">
        <f>((E9*P12)+(P11*G9))*D9</f>
        <v>8.1120000000000001</v>
      </c>
      <c r="K9" s="42" t="s">
        <v>38</v>
      </c>
      <c r="L9" s="33"/>
      <c r="P9" s="34"/>
    </row>
    <row r="10" spans="2:17" x14ac:dyDescent="0.2">
      <c r="B10" s="35" t="s">
        <v>13</v>
      </c>
      <c r="C10" s="36" t="s">
        <v>83</v>
      </c>
      <c r="D10" s="37">
        <v>1</v>
      </c>
      <c r="E10" s="38">
        <v>0.1</v>
      </c>
      <c r="F10" s="38">
        <v>0.1</v>
      </c>
      <c r="G10" s="39">
        <v>0.7</v>
      </c>
      <c r="H10" s="36" t="s">
        <v>69</v>
      </c>
      <c r="I10" s="40">
        <f>P11</f>
        <v>4.08</v>
      </c>
      <c r="J10" s="41">
        <f>(I10*G10)+(P11*E10)</f>
        <v>3.2639999999999998</v>
      </c>
      <c r="K10" s="42" t="s">
        <v>167</v>
      </c>
      <c r="L10" s="33"/>
      <c r="P10" s="25" t="s">
        <v>221</v>
      </c>
      <c r="Q10" s="25" t="s">
        <v>222</v>
      </c>
    </row>
    <row r="11" spans="2:17" ht="13.5" thickBot="1" x14ac:dyDescent="0.25">
      <c r="B11" s="43" t="s">
        <v>13</v>
      </c>
      <c r="C11" s="44" t="s">
        <v>83</v>
      </c>
      <c r="D11" s="45"/>
      <c r="E11" s="46">
        <v>0.1</v>
      </c>
      <c r="F11" s="46"/>
      <c r="G11" s="47"/>
      <c r="H11" s="44" t="s">
        <v>44</v>
      </c>
      <c r="I11" s="48">
        <f>P12</f>
        <v>10</v>
      </c>
      <c r="J11" s="41">
        <f>P12*E11</f>
        <v>1</v>
      </c>
      <c r="K11" s="49" t="s">
        <v>166</v>
      </c>
      <c r="L11" s="33"/>
      <c r="N11" s="25" t="s">
        <v>87</v>
      </c>
      <c r="P11" s="176">
        <v>4.08</v>
      </c>
      <c r="Q11" s="176">
        <v>4.5999999999999996</v>
      </c>
    </row>
    <row r="12" spans="2:17" ht="13.5" thickBot="1" x14ac:dyDescent="0.25">
      <c r="B12" s="50" t="s">
        <v>14</v>
      </c>
      <c r="C12" s="51"/>
      <c r="D12" s="52"/>
      <c r="E12" s="53">
        <f>SUM(E7:E11)</f>
        <v>0.67999999999999994</v>
      </c>
      <c r="F12" s="54">
        <f>SUM(F7:F11)</f>
        <v>0.57999999999999996</v>
      </c>
      <c r="G12" s="55"/>
      <c r="H12" s="52"/>
      <c r="I12" s="56"/>
      <c r="J12" s="57">
        <f>SUM(J7:J11)</f>
        <v>26.992000000000001</v>
      </c>
      <c r="K12" s="58"/>
      <c r="L12" s="33"/>
      <c r="N12" s="25" t="s">
        <v>177</v>
      </c>
      <c r="P12" s="34">
        <v>10</v>
      </c>
    </row>
    <row r="13" spans="2:17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62</v>
      </c>
      <c r="P13" s="34">
        <v>14</v>
      </c>
    </row>
    <row r="14" spans="2:17" x14ac:dyDescent="0.2">
      <c r="B14" s="64" t="s">
        <v>16</v>
      </c>
      <c r="C14" s="65" t="s">
        <v>58</v>
      </c>
      <c r="D14" s="66">
        <v>1</v>
      </c>
      <c r="E14" s="67">
        <v>0.09</v>
      </c>
      <c r="F14" s="67">
        <v>0.09</v>
      </c>
      <c r="G14" s="68">
        <v>0.3</v>
      </c>
      <c r="H14" s="65" t="s">
        <v>69</v>
      </c>
      <c r="I14" s="69">
        <f>Q11</f>
        <v>4.5999999999999996</v>
      </c>
      <c r="J14" s="41">
        <f>(P12*E14)+(G14*I14)</f>
        <v>2.2799999999999998</v>
      </c>
      <c r="K14" s="70" t="s">
        <v>42</v>
      </c>
      <c r="L14" s="33"/>
      <c r="N14" s="25" t="s">
        <v>21</v>
      </c>
      <c r="P14" s="34">
        <v>35</v>
      </c>
    </row>
    <row r="15" spans="2:17" x14ac:dyDescent="0.2">
      <c r="B15" s="35" t="s">
        <v>16</v>
      </c>
      <c r="C15" s="36" t="s">
        <v>58</v>
      </c>
      <c r="D15" s="37"/>
      <c r="E15" s="38">
        <v>0.09</v>
      </c>
      <c r="F15" s="38"/>
      <c r="G15" s="39"/>
      <c r="H15" s="36" t="s">
        <v>44</v>
      </c>
      <c r="I15" s="69">
        <f>P12</f>
        <v>10</v>
      </c>
      <c r="J15" s="40">
        <f>I15*E15</f>
        <v>0.89999999999999991</v>
      </c>
      <c r="K15" s="42" t="s">
        <v>41</v>
      </c>
      <c r="L15" s="33"/>
      <c r="N15" s="25" t="s">
        <v>28</v>
      </c>
      <c r="P15" s="34">
        <v>100</v>
      </c>
    </row>
    <row r="16" spans="2:17" x14ac:dyDescent="0.2">
      <c r="B16" s="64" t="s">
        <v>17</v>
      </c>
      <c r="C16" s="65" t="s">
        <v>36</v>
      </c>
      <c r="D16" s="66">
        <v>1</v>
      </c>
      <c r="E16" s="67">
        <v>0.09</v>
      </c>
      <c r="F16" s="67">
        <v>0.09</v>
      </c>
      <c r="G16" s="68">
        <v>0.3</v>
      </c>
      <c r="H16" s="65" t="s">
        <v>69</v>
      </c>
      <c r="I16" s="69">
        <f>Q11</f>
        <v>4.5999999999999996</v>
      </c>
      <c r="J16" s="41">
        <f>(G16*I16)</f>
        <v>1.38</v>
      </c>
      <c r="K16" s="70" t="s">
        <v>43</v>
      </c>
      <c r="L16" s="33"/>
      <c r="N16" s="25" t="s">
        <v>79</v>
      </c>
      <c r="O16" s="71"/>
      <c r="P16" s="34">
        <v>1.5</v>
      </c>
    </row>
    <row r="17" spans="2:26" ht="13.5" thickBot="1" x14ac:dyDescent="0.25">
      <c r="B17" s="35" t="s">
        <v>17</v>
      </c>
      <c r="C17" s="36" t="s">
        <v>36</v>
      </c>
      <c r="D17" s="37"/>
      <c r="E17" s="38">
        <v>0.09</v>
      </c>
      <c r="F17" s="72"/>
      <c r="G17" s="39"/>
      <c r="H17" s="36" t="s">
        <v>44</v>
      </c>
      <c r="I17" s="69">
        <f>P12</f>
        <v>10</v>
      </c>
      <c r="J17" s="41">
        <f>(I17*E17)</f>
        <v>0.89999999999999991</v>
      </c>
      <c r="K17" s="73" t="s">
        <v>41</v>
      </c>
      <c r="L17" s="33"/>
      <c r="N17" s="25" t="s">
        <v>63</v>
      </c>
      <c r="P17" s="34">
        <v>2.5</v>
      </c>
      <c r="Q17" s="74" t="s">
        <v>203</v>
      </c>
      <c r="R17" s="25" t="s">
        <v>204</v>
      </c>
    </row>
    <row r="18" spans="2:26" ht="13.5" thickBot="1" x14ac:dyDescent="0.25">
      <c r="B18" s="35" t="s">
        <v>85</v>
      </c>
      <c r="C18" s="36" t="s">
        <v>60</v>
      </c>
      <c r="D18" s="37">
        <v>2</v>
      </c>
      <c r="E18" s="38">
        <v>2.77</v>
      </c>
      <c r="F18" s="72">
        <v>1.5</v>
      </c>
      <c r="G18" s="77">
        <v>3</v>
      </c>
      <c r="H18" s="36" t="s">
        <v>69</v>
      </c>
      <c r="I18" s="69">
        <f>Q11</f>
        <v>4.5999999999999996</v>
      </c>
      <c r="J18" s="41">
        <f>D18*((I18*G18)+(E18*P12))</f>
        <v>83</v>
      </c>
      <c r="K18" s="42" t="s">
        <v>86</v>
      </c>
      <c r="N18" s="25" t="s">
        <v>65</v>
      </c>
      <c r="P18" s="179">
        <v>25</v>
      </c>
    </row>
    <row r="19" spans="2:26" ht="13.5" thickBot="1" x14ac:dyDescent="0.25">
      <c r="B19" s="50" t="s">
        <v>14</v>
      </c>
      <c r="C19" s="75"/>
      <c r="D19" s="76"/>
      <c r="E19" s="54">
        <f>SUM(E14:E18)</f>
        <v>3.13</v>
      </c>
      <c r="F19" s="54">
        <f>SUM(F14:F18)</f>
        <v>1.68</v>
      </c>
      <c r="G19" s="62"/>
      <c r="H19" s="51"/>
      <c r="I19" s="78"/>
      <c r="J19" s="57">
        <f>SUM(J14:J18)</f>
        <v>88.46</v>
      </c>
      <c r="K19" s="58"/>
      <c r="L19" s="33"/>
      <c r="N19" s="25" t="s">
        <v>95</v>
      </c>
      <c r="P19" s="34">
        <v>1.8</v>
      </c>
    </row>
    <row r="20" spans="2:26" x14ac:dyDescent="0.2">
      <c r="B20" s="3" t="s">
        <v>18</v>
      </c>
      <c r="C20" s="30"/>
      <c r="D20" s="31"/>
      <c r="E20" s="61"/>
      <c r="F20" s="61"/>
      <c r="G20" s="68"/>
      <c r="H20" s="59"/>
      <c r="I20" s="63"/>
      <c r="J20" s="63"/>
      <c r="K20" s="32"/>
      <c r="L20" s="33"/>
      <c r="N20" s="25" t="s">
        <v>96</v>
      </c>
      <c r="P20" s="34">
        <v>20</v>
      </c>
    </row>
    <row r="21" spans="2:26" x14ac:dyDescent="0.2">
      <c r="B21" s="64" t="s">
        <v>19</v>
      </c>
      <c r="C21" s="65" t="s">
        <v>51</v>
      </c>
      <c r="D21" s="66">
        <v>1</v>
      </c>
      <c r="E21" s="67">
        <v>0.12</v>
      </c>
      <c r="F21" s="67">
        <v>0.12</v>
      </c>
      <c r="G21" s="68"/>
      <c r="H21" s="65" t="s">
        <v>69</v>
      </c>
      <c r="I21" s="69">
        <f>P13</f>
        <v>14</v>
      </c>
      <c r="J21" s="41">
        <f>(I21*D21)</f>
        <v>14</v>
      </c>
      <c r="K21" s="70" t="s">
        <v>46</v>
      </c>
      <c r="L21" s="33"/>
      <c r="N21" s="25" t="s">
        <v>202</v>
      </c>
      <c r="O21" s="71"/>
      <c r="P21" s="34">
        <v>10</v>
      </c>
      <c r="Q21" s="71"/>
    </row>
    <row r="22" spans="2:26" ht="13.5" thickBot="1" x14ac:dyDescent="0.25">
      <c r="B22" s="64" t="s">
        <v>20</v>
      </c>
      <c r="C22" s="65" t="s">
        <v>51</v>
      </c>
      <c r="D22" s="79"/>
      <c r="E22" s="67">
        <v>0.12</v>
      </c>
      <c r="F22" s="67"/>
      <c r="G22" s="47"/>
      <c r="H22" s="65" t="s">
        <v>44</v>
      </c>
      <c r="I22" s="69">
        <f>P12</f>
        <v>10</v>
      </c>
      <c r="J22" s="40">
        <f>(I22*E22)</f>
        <v>1.2</v>
      </c>
      <c r="K22" s="70" t="s">
        <v>41</v>
      </c>
      <c r="L22" s="33"/>
      <c r="O22" s="71"/>
      <c r="P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ht="13.5" thickBot="1" x14ac:dyDescent="0.25">
      <c r="B23" s="43" t="s">
        <v>21</v>
      </c>
      <c r="C23" s="44" t="s">
        <v>51</v>
      </c>
      <c r="D23" s="80"/>
      <c r="E23" s="81">
        <v>0.05</v>
      </c>
      <c r="F23" s="81">
        <v>0.05</v>
      </c>
      <c r="G23" s="75"/>
      <c r="H23" s="44" t="s">
        <v>45</v>
      </c>
      <c r="I23" s="82">
        <f>P14/2000</f>
        <v>1.7500000000000002E-2</v>
      </c>
      <c r="J23" s="40">
        <f>I23*E43</f>
        <v>8.75</v>
      </c>
      <c r="K23" s="83" t="s">
        <v>47</v>
      </c>
      <c r="L23" s="33"/>
      <c r="O23" s="71"/>
      <c r="Q23" s="71"/>
    </row>
    <row r="24" spans="2:26" ht="13.5" thickBot="1" x14ac:dyDescent="0.25">
      <c r="B24" s="22" t="s">
        <v>14</v>
      </c>
      <c r="C24" s="75"/>
      <c r="D24" s="86"/>
      <c r="E24" s="87">
        <f>SUM(E21:E23)</f>
        <v>0.28999999999999998</v>
      </c>
      <c r="F24" s="87">
        <f>SUM(F21:F23)</f>
        <v>0.16999999999999998</v>
      </c>
      <c r="G24" s="30"/>
      <c r="H24" s="88"/>
      <c r="I24" s="89"/>
      <c r="J24" s="57">
        <f>SUM(J21:J23)</f>
        <v>23.95</v>
      </c>
      <c r="K24" s="90"/>
      <c r="L24" s="33"/>
      <c r="O24" s="92"/>
      <c r="Q24" s="71"/>
    </row>
    <row r="25" spans="2:26" x14ac:dyDescent="0.2">
      <c r="B25" s="3" t="s">
        <v>22</v>
      </c>
      <c r="C25" s="91"/>
      <c r="D25" s="31"/>
      <c r="E25" s="30"/>
      <c r="F25" s="30"/>
      <c r="G25" s="30"/>
      <c r="H25" s="59"/>
      <c r="I25" s="63"/>
      <c r="J25" s="63"/>
      <c r="K25" s="32"/>
      <c r="L25" s="33"/>
    </row>
    <row r="26" spans="2:26" x14ac:dyDescent="0.2">
      <c r="B26" s="64" t="s">
        <v>23</v>
      </c>
      <c r="C26" s="93"/>
      <c r="D26" s="79"/>
      <c r="E26" s="94"/>
      <c r="F26" s="94"/>
      <c r="G26" s="68">
        <f>P20</f>
        <v>20</v>
      </c>
      <c r="H26" s="65" t="s">
        <v>45</v>
      </c>
      <c r="I26" s="69">
        <f>P19</f>
        <v>1.8</v>
      </c>
      <c r="J26" s="41">
        <f>(I26*G26)</f>
        <v>36</v>
      </c>
      <c r="K26" s="70" t="s">
        <v>77</v>
      </c>
      <c r="L26" s="33"/>
    </row>
    <row r="27" spans="2:26" x14ac:dyDescent="0.2">
      <c r="B27" s="64" t="s">
        <v>74</v>
      </c>
      <c r="C27" s="93"/>
      <c r="D27" s="79"/>
      <c r="E27" s="94"/>
      <c r="F27" s="94"/>
      <c r="G27" s="68">
        <f>O28</f>
        <v>20</v>
      </c>
      <c r="H27" s="65" t="s">
        <v>45</v>
      </c>
      <c r="I27" s="69">
        <f>Q28</f>
        <v>1.45</v>
      </c>
      <c r="J27" s="41">
        <f>(I27*G27)</f>
        <v>29</v>
      </c>
      <c r="K27" s="70" t="s">
        <v>48</v>
      </c>
      <c r="L27" s="33"/>
      <c r="O27" s="71" t="s">
        <v>84</v>
      </c>
      <c r="P27" s="71" t="s">
        <v>8</v>
      </c>
      <c r="Q27" s="71" t="s">
        <v>64</v>
      </c>
    </row>
    <row r="28" spans="2:26" x14ac:dyDescent="0.2">
      <c r="B28" s="64" t="s">
        <v>75</v>
      </c>
      <c r="C28" s="93"/>
      <c r="D28" s="79"/>
      <c r="E28" s="94"/>
      <c r="F28" s="94"/>
      <c r="G28" s="68">
        <f>O29</f>
        <v>20</v>
      </c>
      <c r="H28" s="65" t="s">
        <v>45</v>
      </c>
      <c r="I28" s="69">
        <f>Q29</f>
        <v>1.05</v>
      </c>
      <c r="J28" s="41">
        <f>(I28*G28)</f>
        <v>21</v>
      </c>
      <c r="K28" s="70" t="s">
        <v>76</v>
      </c>
      <c r="L28" s="33"/>
      <c r="N28" s="33" t="s">
        <v>48</v>
      </c>
      <c r="O28" s="71">
        <v>20</v>
      </c>
      <c r="P28" s="34">
        <f>(Q28*O28)</f>
        <v>29</v>
      </c>
      <c r="Q28" s="171">
        <v>1.45</v>
      </c>
    </row>
    <row r="29" spans="2:26" x14ac:dyDescent="0.2">
      <c r="B29" s="64" t="s">
        <v>202</v>
      </c>
      <c r="C29" s="93"/>
      <c r="D29" s="79"/>
      <c r="E29" s="94"/>
      <c r="F29" s="94"/>
      <c r="G29" s="140">
        <v>0.25</v>
      </c>
      <c r="H29" s="65" t="s">
        <v>45</v>
      </c>
      <c r="I29" s="69">
        <f>P21</f>
        <v>10</v>
      </c>
      <c r="J29" s="41">
        <f>I29*G29</f>
        <v>2.5</v>
      </c>
      <c r="K29" s="70" t="s">
        <v>202</v>
      </c>
      <c r="L29" s="33"/>
      <c r="N29" s="25" t="s">
        <v>78</v>
      </c>
      <c r="O29" s="71">
        <v>20</v>
      </c>
      <c r="P29" s="34">
        <f>(Q29*O29)</f>
        <v>21</v>
      </c>
      <c r="Q29" s="171">
        <v>1.05</v>
      </c>
    </row>
    <row r="30" spans="2:26" x14ac:dyDescent="0.2">
      <c r="B30" s="64" t="s">
        <v>79</v>
      </c>
      <c r="C30" s="93"/>
      <c r="D30" s="66">
        <v>1</v>
      </c>
      <c r="E30" s="94"/>
      <c r="F30" s="94"/>
      <c r="G30" s="68"/>
      <c r="H30" s="65" t="s">
        <v>69</v>
      </c>
      <c r="I30" s="69">
        <f>P16</f>
        <v>1.5</v>
      </c>
      <c r="J30" s="41">
        <f>P16</f>
        <v>1.5</v>
      </c>
      <c r="K30" s="70" t="s">
        <v>80</v>
      </c>
      <c r="L30" s="33"/>
    </row>
    <row r="31" spans="2:26" x14ac:dyDescent="0.2">
      <c r="B31" s="35" t="s">
        <v>24</v>
      </c>
      <c r="C31" s="95"/>
      <c r="D31" s="96"/>
      <c r="E31" s="97"/>
      <c r="F31" s="97"/>
      <c r="G31" s="97">
        <v>0.05</v>
      </c>
      <c r="H31" s="36" t="s">
        <v>45</v>
      </c>
      <c r="I31" s="40">
        <f>P17</f>
        <v>2.5</v>
      </c>
      <c r="J31" s="41">
        <f>(I31*G31)</f>
        <v>0.125</v>
      </c>
      <c r="K31" s="42" t="s">
        <v>49</v>
      </c>
      <c r="L31" s="33"/>
      <c r="Q31" s="74"/>
    </row>
    <row r="32" spans="2:26" ht="13.5" thickBot="1" x14ac:dyDescent="0.25">
      <c r="B32" s="98" t="s">
        <v>57</v>
      </c>
      <c r="C32" s="99"/>
      <c r="D32" s="158">
        <v>1</v>
      </c>
      <c r="E32" s="101"/>
      <c r="F32" s="101"/>
      <c r="G32" s="101"/>
      <c r="H32" s="102" t="s">
        <v>69</v>
      </c>
      <c r="I32" s="48">
        <f>P18</f>
        <v>25</v>
      </c>
      <c r="J32" s="82">
        <f>P18</f>
        <v>25</v>
      </c>
      <c r="K32" s="49" t="s">
        <v>88</v>
      </c>
      <c r="L32" s="33"/>
    </row>
    <row r="33" spans="2:12" ht="13.5" thickBot="1" x14ac:dyDescent="0.25">
      <c r="B33" s="50" t="s">
        <v>14</v>
      </c>
      <c r="C33" s="103"/>
      <c r="D33" s="76"/>
      <c r="E33" s="75"/>
      <c r="F33" s="75"/>
      <c r="G33" s="75"/>
      <c r="H33" s="75"/>
      <c r="I33" s="75"/>
      <c r="J33" s="57">
        <f>SUM(J26:J32)</f>
        <v>115.125</v>
      </c>
      <c r="K33" s="58"/>
      <c r="L33" s="33"/>
    </row>
    <row r="34" spans="2:12" ht="13.5" thickBot="1" x14ac:dyDescent="0.25">
      <c r="B34" s="50" t="s">
        <v>25</v>
      </c>
      <c r="C34" s="104"/>
      <c r="D34" s="76"/>
      <c r="E34" s="75"/>
      <c r="F34" s="75"/>
      <c r="G34" s="75"/>
      <c r="H34" s="75"/>
      <c r="I34" s="75"/>
      <c r="J34" s="57">
        <f>(J12+J19+J24+J33)</f>
        <v>254.52699999999999</v>
      </c>
      <c r="K34" s="58"/>
      <c r="L34" s="33"/>
    </row>
    <row r="35" spans="2:12" x14ac:dyDescent="0.2">
      <c r="B35" s="3" t="s">
        <v>26</v>
      </c>
      <c r="C35" s="91"/>
      <c r="D35" s="31"/>
      <c r="E35" s="30"/>
      <c r="F35" s="30"/>
      <c r="G35" s="30"/>
      <c r="H35" s="30"/>
      <c r="I35" s="30"/>
      <c r="J35" s="63"/>
      <c r="K35" s="32"/>
      <c r="L35" s="33"/>
    </row>
    <row r="36" spans="2:12" x14ac:dyDescent="0.2">
      <c r="B36" s="35" t="s">
        <v>27</v>
      </c>
      <c r="C36" s="95"/>
      <c r="D36" s="96"/>
      <c r="E36" s="97"/>
      <c r="F36" s="97"/>
      <c r="G36" s="97"/>
      <c r="H36" s="97"/>
      <c r="I36" s="97"/>
      <c r="J36" s="40">
        <f>J34*0.1</f>
        <v>25.4527</v>
      </c>
      <c r="K36" s="42"/>
      <c r="L36" s="33"/>
    </row>
    <row r="37" spans="2:12" x14ac:dyDescent="0.2">
      <c r="B37" s="35" t="s">
        <v>28</v>
      </c>
      <c r="C37" s="95"/>
      <c r="D37" s="96"/>
      <c r="E37" s="97"/>
      <c r="F37" s="97"/>
      <c r="G37" s="97"/>
      <c r="H37" s="97"/>
      <c r="I37" s="97"/>
      <c r="J37" s="40">
        <f>P15</f>
        <v>100</v>
      </c>
      <c r="K37" s="42"/>
      <c r="L37" s="33"/>
    </row>
    <row r="38" spans="2:12" x14ac:dyDescent="0.2">
      <c r="B38" s="35" t="s">
        <v>29</v>
      </c>
      <c r="C38" s="95"/>
      <c r="D38" s="96"/>
      <c r="E38" s="97"/>
      <c r="F38" s="97"/>
      <c r="G38" s="97"/>
      <c r="H38" s="97"/>
      <c r="I38" s="97"/>
      <c r="J38" s="40">
        <f>((J34+J36+J37)*0.07)</f>
        <v>26.598579000000001</v>
      </c>
      <c r="K38" s="42"/>
      <c r="L38" s="33"/>
    </row>
    <row r="39" spans="2:12" x14ac:dyDescent="0.2">
      <c r="B39" s="105" t="s">
        <v>30</v>
      </c>
      <c r="C39" s="93"/>
      <c r="D39" s="106"/>
      <c r="E39" s="107"/>
      <c r="F39" s="107"/>
      <c r="G39" s="107"/>
      <c r="H39" s="107"/>
      <c r="I39" s="107"/>
      <c r="J39" s="108">
        <f>((J34+J36+J37)*0.03)</f>
        <v>11.399391</v>
      </c>
      <c r="K39" s="83"/>
      <c r="L39" s="33"/>
    </row>
    <row r="40" spans="2:12" ht="13.5" thickBot="1" x14ac:dyDescent="0.25">
      <c r="B40" s="109" t="s">
        <v>14</v>
      </c>
      <c r="C40" s="103"/>
      <c r="D40" s="110"/>
      <c r="E40" s="111"/>
      <c r="F40" s="111"/>
      <c r="G40" s="111"/>
      <c r="H40" s="111"/>
      <c r="I40" s="111"/>
      <c r="J40" s="112">
        <f>SUM(J36:J39)</f>
        <v>163.45067</v>
      </c>
      <c r="K40" s="113"/>
      <c r="L40" s="33"/>
    </row>
    <row r="41" spans="2:12" ht="13.5" thickBot="1" x14ac:dyDescent="0.25">
      <c r="B41" s="2" t="s">
        <v>31</v>
      </c>
      <c r="C41" s="104"/>
      <c r="D41" s="76"/>
      <c r="E41" s="54">
        <v>1.32</v>
      </c>
      <c r="F41" s="54">
        <v>0.81</v>
      </c>
      <c r="G41" s="75"/>
      <c r="H41" s="75"/>
      <c r="I41" s="75"/>
      <c r="J41" s="57">
        <f>(J34+J40)</f>
        <v>417.97766999999999</v>
      </c>
      <c r="K41" s="58"/>
      <c r="L41" s="33"/>
    </row>
    <row r="42" spans="2:12" ht="13.5" thickBot="1" x14ac:dyDescent="0.25">
      <c r="B42" s="33"/>
      <c r="C42" s="33"/>
      <c r="D42" s="33"/>
      <c r="E42" s="114"/>
      <c r="F42" s="114"/>
      <c r="G42" s="33"/>
      <c r="H42" s="33"/>
      <c r="I42" s="33"/>
      <c r="J42" s="33"/>
      <c r="K42" s="33"/>
      <c r="L42" s="33"/>
    </row>
    <row r="43" spans="2:12" x14ac:dyDescent="0.2">
      <c r="B43" s="115" t="s">
        <v>32</v>
      </c>
      <c r="C43" s="116" t="s">
        <v>67</v>
      </c>
      <c r="D43" s="60"/>
      <c r="E43" s="117">
        <v>500</v>
      </c>
      <c r="F43" s="60"/>
      <c r="G43" s="118"/>
      <c r="H43" s="118"/>
      <c r="I43" s="118"/>
      <c r="J43" s="118"/>
      <c r="K43" s="32"/>
      <c r="L43" s="33"/>
    </row>
    <row r="44" spans="2:12" x14ac:dyDescent="0.2">
      <c r="B44" s="35" t="s">
        <v>33</v>
      </c>
      <c r="C44" s="119" t="s">
        <v>68</v>
      </c>
      <c r="D44" s="119"/>
      <c r="E44" s="120">
        <v>20</v>
      </c>
      <c r="F44" s="121"/>
      <c r="G44" s="166" t="s">
        <v>251</v>
      </c>
      <c r="H44" s="33"/>
      <c r="I44" s="33"/>
      <c r="J44" s="33"/>
      <c r="K44" s="83"/>
      <c r="L44" s="33"/>
    </row>
    <row r="45" spans="2:12" x14ac:dyDescent="0.2">
      <c r="B45" s="35" t="s">
        <v>34</v>
      </c>
      <c r="C45" s="119" t="s">
        <v>68</v>
      </c>
      <c r="D45" s="119"/>
      <c r="E45" s="120">
        <f>(J41-E44)</f>
        <v>397.97766999999999</v>
      </c>
      <c r="F45" s="121"/>
      <c r="G45" s="122"/>
      <c r="H45" s="122"/>
      <c r="I45" s="122"/>
      <c r="J45" s="122"/>
      <c r="K45" s="42"/>
      <c r="L45" s="33"/>
    </row>
    <row r="46" spans="2:12" x14ac:dyDescent="0.2">
      <c r="B46" s="35" t="s">
        <v>34</v>
      </c>
      <c r="C46" s="119" t="s">
        <v>35</v>
      </c>
      <c r="D46" s="119"/>
      <c r="E46" s="120">
        <f>(E45/E43)</f>
        <v>0.79595534000000001</v>
      </c>
      <c r="F46" s="121"/>
      <c r="G46" s="33"/>
      <c r="H46" s="33"/>
      <c r="I46" s="33"/>
      <c r="J46" s="33"/>
      <c r="K46" s="83"/>
      <c r="L46" s="33"/>
    </row>
    <row r="47" spans="2:12" ht="13.5" thickBot="1" x14ac:dyDescent="0.25">
      <c r="B47" s="109" t="s">
        <v>81</v>
      </c>
      <c r="C47" s="123" t="s">
        <v>35</v>
      </c>
      <c r="D47" s="123"/>
      <c r="E47" s="124">
        <f>E46*1.3</f>
        <v>1.0347419420000001</v>
      </c>
      <c r="F47" s="125"/>
      <c r="G47" s="99"/>
      <c r="H47" s="99"/>
      <c r="I47" s="99"/>
      <c r="J47" s="99"/>
      <c r="K47" s="126"/>
      <c r="L47" s="33"/>
    </row>
    <row r="48" spans="2:12" x14ac:dyDescent="0.2">
      <c r="B48" s="33"/>
      <c r="C48" s="24"/>
      <c r="D48" s="24"/>
      <c r="E48" s="127"/>
      <c r="F48" s="127"/>
      <c r="G48" s="33"/>
      <c r="H48" s="33"/>
      <c r="I48" s="33"/>
      <c r="J48" s="33"/>
      <c r="K48" s="33"/>
      <c r="L48" s="33"/>
    </row>
    <row r="49" spans="2:12" x14ac:dyDescent="0.2">
      <c r="B49" s="33"/>
      <c r="C49" s="24"/>
      <c r="D49" s="24"/>
      <c r="E49" s="127"/>
      <c r="F49" s="127"/>
      <c r="G49" s="33"/>
      <c r="H49" s="33"/>
      <c r="I49" s="33"/>
      <c r="J49" s="33"/>
      <c r="K49" s="33"/>
      <c r="L49" s="33"/>
    </row>
    <row r="50" spans="2:12" x14ac:dyDescent="0.2">
      <c r="B50" s="25" t="s">
        <v>82</v>
      </c>
      <c r="L50" s="33"/>
    </row>
    <row r="51" spans="2:12" x14ac:dyDescent="0.2">
      <c r="B51" s="25" t="s">
        <v>217</v>
      </c>
    </row>
    <row r="72" spans="9:10" x14ac:dyDescent="0.2">
      <c r="I72" s="343"/>
      <c r="J72" s="343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</sheetData>
  <customSheetViews>
    <customSheetView guid="{8B6B86C0-2F1B-11D5-9D92-00606708EF55}" scale="75" showRuler="0" topLeftCell="A17">
      <selection activeCell="H47" sqref="H47"/>
      <pageMargins left="0.74803149606299213" right="0.74803149606299213" top="0.39370078740157483" bottom="0.39370078740157483" header="0.51181102362204722" footer="0.51181102362204722"/>
      <printOptions horizontalCentered="1" verticalCentered="1"/>
      <pageSetup paperSize="9" scale="90" orientation="landscape" r:id="rId1"/>
      <headerFooter alignWithMargins="0"/>
    </customSheetView>
  </customSheetViews>
  <mergeCells count="11">
    <mergeCell ref="I78:J78"/>
    <mergeCell ref="I72:J72"/>
    <mergeCell ref="I73:J73"/>
    <mergeCell ref="I74:J74"/>
    <mergeCell ref="I75:J75"/>
    <mergeCell ref="I77:J77"/>
    <mergeCell ref="B1:I1"/>
    <mergeCell ref="C3:D5"/>
    <mergeCell ref="E3:F3"/>
    <mergeCell ref="E4:F4"/>
    <mergeCell ref="I76:J76"/>
  </mergeCells>
  <phoneticPr fontId="2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8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opLeftCell="A13" workbookViewId="0">
      <selection activeCell="H31" sqref="H31"/>
    </sheetView>
  </sheetViews>
  <sheetFormatPr defaultRowHeight="12.75" x14ac:dyDescent="0.2"/>
  <cols>
    <col min="1" max="1" width="2.7109375" customWidth="1"/>
    <col min="2" max="2" width="25.85546875" customWidth="1"/>
    <col min="3" max="3" width="12.28515625" customWidth="1"/>
    <col min="4" max="4" width="4.85546875" customWidth="1"/>
    <col min="6" max="6" width="10.7109375" customWidth="1"/>
    <col min="9" max="9" width="11.28515625" customWidth="1"/>
    <col min="10" max="10" width="13.42578125" customWidth="1"/>
    <col min="11" max="11" width="19" customWidth="1"/>
    <col min="14" max="15" width="0" hidden="1" customWidth="1"/>
    <col min="16" max="17" width="9.140625" hidden="1" customWidth="1"/>
  </cols>
  <sheetData>
    <row r="1" spans="1:26" x14ac:dyDescent="0.2">
      <c r="A1" s="181"/>
      <c r="B1" s="333" t="s">
        <v>247</v>
      </c>
      <c r="C1" s="334"/>
      <c r="D1" s="334"/>
      <c r="E1" s="334"/>
      <c r="F1" s="334"/>
      <c r="G1" s="334"/>
      <c r="H1" s="334"/>
      <c r="I1" s="334"/>
      <c r="J1" s="200"/>
      <c r="K1" s="200"/>
      <c r="L1" s="200"/>
      <c r="M1" s="200"/>
      <c r="N1" s="200"/>
      <c r="O1" s="200"/>
      <c r="P1" s="200"/>
      <c r="Q1" s="200"/>
      <c r="R1" s="181"/>
      <c r="S1" s="181"/>
      <c r="T1" s="181"/>
      <c r="U1" s="181"/>
      <c r="V1" s="181"/>
      <c r="W1" s="181"/>
      <c r="X1" s="181"/>
      <c r="Y1" s="181"/>
      <c r="Z1" s="181"/>
    </row>
    <row r="2" spans="1:26" ht="13.5" thickBot="1" x14ac:dyDescent="0.25">
      <c r="A2" s="181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181"/>
      <c r="S2" s="181"/>
      <c r="T2" s="181"/>
      <c r="U2" s="181"/>
      <c r="V2" s="181"/>
      <c r="W2" s="181"/>
      <c r="X2" s="181"/>
      <c r="Y2" s="181"/>
      <c r="Z2" s="181"/>
    </row>
    <row r="3" spans="1:26" ht="12.75" customHeight="1" x14ac:dyDescent="0.2">
      <c r="A3" s="181"/>
      <c r="B3" s="201"/>
      <c r="C3" s="337" t="s">
        <v>55</v>
      </c>
      <c r="D3" s="338"/>
      <c r="E3" s="336" t="s">
        <v>52</v>
      </c>
      <c r="F3" s="336"/>
      <c r="G3" s="202"/>
      <c r="H3" s="203"/>
      <c r="I3" s="202"/>
      <c r="J3" s="202"/>
      <c r="K3" s="204"/>
      <c r="L3" s="205"/>
      <c r="M3" s="183"/>
      <c r="N3" s="183"/>
      <c r="O3" s="183"/>
      <c r="P3" s="183"/>
      <c r="Q3" s="183"/>
      <c r="R3" s="181"/>
      <c r="S3" s="181"/>
      <c r="T3" s="181"/>
      <c r="U3" s="181"/>
      <c r="V3" s="181"/>
      <c r="W3" s="181"/>
      <c r="X3" s="181"/>
      <c r="Y3" s="181"/>
      <c r="Z3" s="181"/>
    </row>
    <row r="4" spans="1:26" ht="13.5" thickBot="1" x14ac:dyDescent="0.25">
      <c r="A4" s="181"/>
      <c r="B4" s="186" t="s">
        <v>50</v>
      </c>
      <c r="C4" s="339"/>
      <c r="D4" s="340"/>
      <c r="E4" s="335" t="s">
        <v>70</v>
      </c>
      <c r="F4" s="335"/>
      <c r="G4" s="187" t="s">
        <v>5</v>
      </c>
      <c r="H4" s="186" t="s">
        <v>6</v>
      </c>
      <c r="I4" s="187" t="s">
        <v>7</v>
      </c>
      <c r="J4" s="187" t="s">
        <v>8</v>
      </c>
      <c r="K4" s="191" t="s">
        <v>9</v>
      </c>
      <c r="L4" s="206"/>
      <c r="M4" s="183"/>
      <c r="N4" s="183"/>
      <c r="O4" s="183"/>
      <c r="P4" s="183"/>
      <c r="Q4" s="183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13.5" thickBot="1" x14ac:dyDescent="0.25">
      <c r="A5" s="181"/>
      <c r="B5" s="207"/>
      <c r="C5" s="341"/>
      <c r="D5" s="342"/>
      <c r="E5" s="189" t="s">
        <v>53</v>
      </c>
      <c r="F5" s="190" t="s">
        <v>54</v>
      </c>
      <c r="G5" s="208"/>
      <c r="H5" s="207"/>
      <c r="I5" s="188" t="s">
        <v>230</v>
      </c>
      <c r="J5" s="188" t="s">
        <v>230</v>
      </c>
      <c r="K5" s="209"/>
      <c r="L5" s="205"/>
      <c r="M5" s="183"/>
      <c r="N5" s="183"/>
      <c r="O5" s="183"/>
      <c r="P5" s="183"/>
      <c r="Q5" s="183"/>
      <c r="R5" s="181"/>
      <c r="S5" s="181"/>
      <c r="T5" s="181"/>
      <c r="U5" s="181"/>
      <c r="V5" s="181"/>
      <c r="W5" s="181"/>
      <c r="X5" s="181"/>
      <c r="Y5" s="181"/>
      <c r="Z5" s="181"/>
    </row>
    <row r="6" spans="1:26" x14ac:dyDescent="0.2">
      <c r="A6" s="181"/>
      <c r="B6" s="185" t="s">
        <v>10</v>
      </c>
      <c r="C6" s="210"/>
      <c r="D6" s="211"/>
      <c r="E6" s="210"/>
      <c r="F6" s="210"/>
      <c r="G6" s="210"/>
      <c r="H6" s="210"/>
      <c r="I6" s="210"/>
      <c r="J6" s="211"/>
      <c r="K6" s="212"/>
      <c r="L6" s="213"/>
      <c r="M6" s="183"/>
      <c r="N6" s="183"/>
      <c r="O6" s="183"/>
      <c r="P6" s="214"/>
      <c r="Q6" s="183"/>
      <c r="R6" s="181"/>
      <c r="S6" s="181"/>
      <c r="T6" s="181"/>
      <c r="U6" s="181"/>
      <c r="V6" s="181"/>
      <c r="W6" s="181"/>
      <c r="X6" s="181"/>
      <c r="Y6" s="181"/>
      <c r="Z6" s="181"/>
    </row>
    <row r="7" spans="1:26" x14ac:dyDescent="0.2">
      <c r="A7" s="181"/>
      <c r="B7" s="215" t="s">
        <v>56</v>
      </c>
      <c r="C7" s="216" t="s">
        <v>59</v>
      </c>
      <c r="D7" s="217">
        <v>1</v>
      </c>
      <c r="E7" s="218">
        <v>0.24</v>
      </c>
      <c r="F7" s="218">
        <v>0.24</v>
      </c>
      <c r="G7" s="219">
        <v>1.7</v>
      </c>
      <c r="H7" s="216" t="s">
        <v>69</v>
      </c>
      <c r="I7" s="220">
        <v>3.8</v>
      </c>
      <c r="J7" s="221">
        <v>8.86</v>
      </c>
      <c r="K7" s="222" t="s">
        <v>37</v>
      </c>
      <c r="L7" s="213"/>
      <c r="M7" s="183"/>
      <c r="N7" s="183"/>
      <c r="O7" s="183"/>
      <c r="P7" s="214"/>
      <c r="Q7" s="183"/>
      <c r="R7" s="181"/>
      <c r="S7" s="181"/>
      <c r="T7" s="181"/>
      <c r="U7" s="181"/>
      <c r="V7" s="181"/>
      <c r="W7" s="181"/>
      <c r="X7" s="181"/>
      <c r="Y7" s="181"/>
      <c r="Z7" s="181"/>
    </row>
    <row r="8" spans="1:26" x14ac:dyDescent="0.2">
      <c r="A8" s="181"/>
      <c r="B8" s="215" t="s">
        <v>11</v>
      </c>
      <c r="C8" s="216" t="s">
        <v>83</v>
      </c>
      <c r="D8" s="217">
        <v>1</v>
      </c>
      <c r="E8" s="218">
        <v>0.12</v>
      </c>
      <c r="F8" s="218">
        <v>0.12</v>
      </c>
      <c r="G8" s="219">
        <v>1</v>
      </c>
      <c r="H8" s="216" t="s">
        <v>69</v>
      </c>
      <c r="I8" s="220">
        <v>3.8</v>
      </c>
      <c r="J8" s="221">
        <v>5</v>
      </c>
      <c r="K8" s="222" t="s">
        <v>39</v>
      </c>
      <c r="L8" s="213"/>
      <c r="M8" s="183"/>
      <c r="N8" s="183"/>
      <c r="O8" s="183"/>
      <c r="P8" s="214"/>
      <c r="Q8" s="183"/>
      <c r="R8" s="181"/>
      <c r="S8" s="181"/>
      <c r="T8" s="181"/>
      <c r="U8" s="181"/>
      <c r="V8" s="181"/>
      <c r="W8" s="181"/>
      <c r="X8" s="181"/>
      <c r="Y8" s="181"/>
      <c r="Z8" s="181"/>
    </row>
    <row r="9" spans="1:26" x14ac:dyDescent="0.2">
      <c r="A9" s="181"/>
      <c r="B9" s="215" t="s">
        <v>12</v>
      </c>
      <c r="C9" s="216" t="s">
        <v>83</v>
      </c>
      <c r="D9" s="217">
        <v>1</v>
      </c>
      <c r="E9" s="218">
        <v>0.12</v>
      </c>
      <c r="F9" s="218">
        <v>0.12</v>
      </c>
      <c r="G9" s="219">
        <v>0.7</v>
      </c>
      <c r="H9" s="216" t="s">
        <v>69</v>
      </c>
      <c r="I9" s="220">
        <v>3.8</v>
      </c>
      <c r="J9" s="221">
        <v>3.8599999999999994</v>
      </c>
      <c r="K9" s="222" t="s">
        <v>38</v>
      </c>
      <c r="L9" s="213"/>
      <c r="M9" s="183"/>
      <c r="N9" s="183"/>
      <c r="O9" s="183"/>
      <c r="P9" s="214"/>
      <c r="Q9" s="183"/>
      <c r="R9" s="181"/>
      <c r="S9" s="181"/>
      <c r="T9" s="181"/>
      <c r="U9" s="181"/>
      <c r="V9" s="181"/>
      <c r="W9" s="181"/>
      <c r="X9" s="181"/>
      <c r="Y9" s="181"/>
      <c r="Z9" s="181"/>
    </row>
    <row r="10" spans="1:26" x14ac:dyDescent="0.2">
      <c r="A10" s="181"/>
      <c r="B10" s="215" t="s">
        <v>13</v>
      </c>
      <c r="C10" s="216" t="s">
        <v>83</v>
      </c>
      <c r="D10" s="217">
        <v>1</v>
      </c>
      <c r="E10" s="218">
        <v>0.1</v>
      </c>
      <c r="F10" s="218">
        <v>0.1</v>
      </c>
      <c r="G10" s="219">
        <v>0.7</v>
      </c>
      <c r="H10" s="216" t="s">
        <v>69</v>
      </c>
      <c r="I10" s="220">
        <v>3.8</v>
      </c>
      <c r="J10" s="221">
        <v>3.0399999999999996</v>
      </c>
      <c r="K10" s="222" t="s">
        <v>167</v>
      </c>
      <c r="L10" s="213"/>
      <c r="M10" s="183"/>
      <c r="N10" s="183"/>
      <c r="O10" s="183"/>
      <c r="P10" s="200" t="s">
        <v>165</v>
      </c>
      <c r="Q10" s="200" t="s">
        <v>36</v>
      </c>
      <c r="R10" s="181"/>
      <c r="S10" s="181"/>
      <c r="T10" s="181"/>
      <c r="U10" s="181"/>
      <c r="V10" s="181"/>
      <c r="W10" s="181"/>
      <c r="X10" s="181"/>
      <c r="Y10" s="181"/>
      <c r="Z10" s="181"/>
    </row>
    <row r="11" spans="1:26" ht="13.5" thickBot="1" x14ac:dyDescent="0.25">
      <c r="A11" s="181"/>
      <c r="B11" s="223" t="s">
        <v>13</v>
      </c>
      <c r="C11" s="224" t="s">
        <v>83</v>
      </c>
      <c r="D11" s="225"/>
      <c r="E11" s="226">
        <v>0.1</v>
      </c>
      <c r="F11" s="226"/>
      <c r="G11" s="227"/>
      <c r="H11" s="224" t="s">
        <v>44</v>
      </c>
      <c r="I11" s="228">
        <v>10</v>
      </c>
      <c r="J11" s="221">
        <v>1</v>
      </c>
      <c r="K11" s="229" t="s">
        <v>166</v>
      </c>
      <c r="L11" s="213"/>
      <c r="M11" s="183"/>
      <c r="N11" s="200" t="s">
        <v>87</v>
      </c>
      <c r="O11" s="183"/>
      <c r="P11" s="176">
        <v>4.08</v>
      </c>
      <c r="Q11" s="176">
        <v>4.5999999999999996</v>
      </c>
      <c r="R11" s="181"/>
      <c r="S11" s="181"/>
      <c r="T11" s="181"/>
      <c r="U11" s="181"/>
      <c r="V11" s="181"/>
      <c r="W11" s="181"/>
      <c r="X11" s="181"/>
      <c r="Y11" s="181"/>
      <c r="Z11" s="181"/>
    </row>
    <row r="12" spans="1:26" ht="13.5" thickBot="1" x14ac:dyDescent="0.25">
      <c r="A12" s="181"/>
      <c r="B12" s="230" t="s">
        <v>14</v>
      </c>
      <c r="C12" s="231"/>
      <c r="D12" s="232"/>
      <c r="E12" s="233">
        <v>0.67999999999999994</v>
      </c>
      <c r="F12" s="234">
        <v>0.57999999999999996</v>
      </c>
      <c r="G12" s="235"/>
      <c r="H12" s="232"/>
      <c r="I12" s="236"/>
      <c r="J12" s="237">
        <v>21.759999999999998</v>
      </c>
      <c r="K12" s="238"/>
      <c r="L12" s="213"/>
      <c r="M12" s="183"/>
      <c r="N12" s="314" t="s">
        <v>227</v>
      </c>
      <c r="O12" s="183"/>
      <c r="P12" s="214">
        <v>10</v>
      </c>
      <c r="Q12" s="183"/>
      <c r="R12" s="181"/>
      <c r="S12" s="181"/>
      <c r="T12" s="181"/>
      <c r="U12" s="181"/>
      <c r="V12" s="181"/>
      <c r="W12" s="181"/>
      <c r="X12" s="181"/>
      <c r="Y12" s="181"/>
      <c r="Z12" s="181"/>
    </row>
    <row r="13" spans="1:26" x14ac:dyDescent="0.2">
      <c r="A13" s="181"/>
      <c r="B13" s="185" t="s">
        <v>15</v>
      </c>
      <c r="C13" s="239"/>
      <c r="D13" s="240"/>
      <c r="E13" s="241"/>
      <c r="F13" s="241"/>
      <c r="G13" s="242"/>
      <c r="H13" s="239"/>
      <c r="I13" s="243"/>
      <c r="J13" s="243"/>
      <c r="K13" s="212"/>
      <c r="L13" s="213"/>
      <c r="M13" s="183"/>
      <c r="N13" s="200" t="s">
        <v>62</v>
      </c>
      <c r="O13" s="183"/>
      <c r="P13" s="214">
        <v>14</v>
      </c>
      <c r="Q13" s="183"/>
      <c r="R13" s="181"/>
      <c r="S13" s="181"/>
      <c r="T13" s="181"/>
      <c r="U13" s="181"/>
      <c r="V13" s="181"/>
      <c r="W13" s="181"/>
      <c r="X13" s="181"/>
      <c r="Y13" s="181"/>
      <c r="Z13" s="181"/>
    </row>
    <row r="14" spans="1:26" x14ac:dyDescent="0.2">
      <c r="A14" s="181"/>
      <c r="B14" s="244"/>
      <c r="C14" s="245"/>
      <c r="D14" s="246"/>
      <c r="E14" s="247"/>
      <c r="F14" s="247"/>
      <c r="G14" s="248"/>
      <c r="H14" s="245"/>
      <c r="I14" s="249"/>
      <c r="J14" s="221"/>
      <c r="K14" s="250"/>
      <c r="L14" s="213"/>
      <c r="M14" s="183"/>
      <c r="N14" s="200" t="s">
        <v>21</v>
      </c>
      <c r="O14" s="183"/>
      <c r="P14" s="214">
        <v>35</v>
      </c>
      <c r="Q14" s="183"/>
      <c r="R14" s="181"/>
      <c r="S14" s="181"/>
      <c r="T14" s="181"/>
      <c r="U14" s="181"/>
      <c r="V14" s="181"/>
      <c r="W14" s="181"/>
      <c r="X14" s="181"/>
      <c r="Y14" s="181"/>
      <c r="Z14" s="181"/>
    </row>
    <row r="15" spans="1:26" x14ac:dyDescent="0.2">
      <c r="A15" s="181"/>
      <c r="B15" s="215"/>
      <c r="C15" s="216"/>
      <c r="D15" s="217"/>
      <c r="E15" s="218"/>
      <c r="F15" s="218"/>
      <c r="G15" s="219"/>
      <c r="H15" s="216"/>
      <c r="I15" s="249"/>
      <c r="J15" s="220"/>
      <c r="K15" s="222"/>
      <c r="L15" s="213"/>
      <c r="M15" s="183"/>
      <c r="N15" s="200" t="s">
        <v>28</v>
      </c>
      <c r="O15" s="183"/>
      <c r="P15" s="214">
        <v>45</v>
      </c>
      <c r="Q15" s="183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1"/>
      <c r="B16" s="244" t="s">
        <v>17</v>
      </c>
      <c r="C16" s="245" t="s">
        <v>36</v>
      </c>
      <c r="D16" s="246">
        <v>1</v>
      </c>
      <c r="E16" s="247">
        <v>0.08</v>
      </c>
      <c r="F16" s="247">
        <v>0.08</v>
      </c>
      <c r="G16" s="248">
        <v>0.3</v>
      </c>
      <c r="H16" s="245" t="s">
        <v>69</v>
      </c>
      <c r="I16" s="249">
        <v>4</v>
      </c>
      <c r="J16" s="221">
        <v>1.2</v>
      </c>
      <c r="K16" s="250" t="s">
        <v>43</v>
      </c>
      <c r="L16" s="213"/>
      <c r="M16" s="183"/>
      <c r="N16" s="200" t="s">
        <v>79</v>
      </c>
      <c r="O16" s="251"/>
      <c r="P16" s="214">
        <v>1.5</v>
      </c>
      <c r="Q16" s="183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ht="13.5" thickBot="1" x14ac:dyDescent="0.25">
      <c r="A17" s="181"/>
      <c r="B17" s="215" t="s">
        <v>17</v>
      </c>
      <c r="C17" s="216" t="s">
        <v>36</v>
      </c>
      <c r="D17" s="217"/>
      <c r="E17" s="218">
        <v>0.08</v>
      </c>
      <c r="F17" s="252"/>
      <c r="G17" s="219"/>
      <c r="H17" s="216" t="s">
        <v>44</v>
      </c>
      <c r="I17" s="249">
        <v>10</v>
      </c>
      <c r="J17" s="221">
        <v>0.8</v>
      </c>
      <c r="K17" s="253" t="s">
        <v>41</v>
      </c>
      <c r="L17" s="213"/>
      <c r="M17" s="183"/>
      <c r="N17" s="200" t="s">
        <v>63</v>
      </c>
      <c r="O17" s="183"/>
      <c r="P17" s="214">
        <v>2.5</v>
      </c>
      <c r="Q17" s="254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13.5" thickBot="1" x14ac:dyDescent="0.25">
      <c r="A18" s="181"/>
      <c r="B18" s="230" t="s">
        <v>14</v>
      </c>
      <c r="C18" s="255"/>
      <c r="D18" s="256"/>
      <c r="E18" s="234">
        <v>0.16</v>
      </c>
      <c r="F18" s="234">
        <v>0.08</v>
      </c>
      <c r="G18" s="257"/>
      <c r="H18" s="231"/>
      <c r="I18" s="258"/>
      <c r="J18" s="237">
        <v>2</v>
      </c>
      <c r="K18" s="238"/>
      <c r="L18" s="183"/>
      <c r="M18" s="183"/>
      <c r="N18" s="200" t="s">
        <v>65</v>
      </c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</row>
    <row r="19" spans="1:26" x14ac:dyDescent="0.2">
      <c r="A19" s="181"/>
      <c r="B19" s="185" t="s">
        <v>18</v>
      </c>
      <c r="C19" s="210"/>
      <c r="D19" s="211"/>
      <c r="E19" s="241"/>
      <c r="F19" s="241"/>
      <c r="G19" s="242"/>
      <c r="H19" s="239"/>
      <c r="I19" s="243"/>
      <c r="J19" s="243"/>
      <c r="K19" s="212"/>
      <c r="L19" s="213"/>
      <c r="M19" s="183"/>
      <c r="N19" s="200" t="s">
        <v>95</v>
      </c>
      <c r="O19" s="183"/>
      <c r="P19" s="214">
        <v>1.2</v>
      </c>
      <c r="Q19" s="183"/>
      <c r="R19" s="183"/>
      <c r="S19" s="183"/>
      <c r="T19" s="183"/>
      <c r="U19" s="183"/>
      <c r="V19" s="183"/>
      <c r="W19" s="183"/>
      <c r="X19" s="183"/>
      <c r="Y19" s="183"/>
      <c r="Z19" s="183"/>
    </row>
    <row r="20" spans="1:26" x14ac:dyDescent="0.2">
      <c r="A20" s="181"/>
      <c r="B20" s="244" t="s">
        <v>19</v>
      </c>
      <c r="C20" s="245" t="s">
        <v>51</v>
      </c>
      <c r="D20" s="246">
        <v>1</v>
      </c>
      <c r="E20" s="247">
        <v>0.12</v>
      </c>
      <c r="F20" s="247">
        <v>0.12</v>
      </c>
      <c r="G20" s="248"/>
      <c r="H20" s="245" t="s">
        <v>69</v>
      </c>
      <c r="I20" s="249">
        <v>14</v>
      </c>
      <c r="J20" s="221">
        <v>14</v>
      </c>
      <c r="K20" s="250" t="s">
        <v>46</v>
      </c>
      <c r="L20" s="213"/>
      <c r="M20" s="183"/>
      <c r="N20" s="200" t="s">
        <v>96</v>
      </c>
      <c r="O20" s="183"/>
      <c r="P20" s="214">
        <v>20</v>
      </c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181"/>
      <c r="B21" s="244" t="s">
        <v>20</v>
      </c>
      <c r="C21" s="245" t="s">
        <v>51</v>
      </c>
      <c r="D21" s="259"/>
      <c r="E21" s="247">
        <v>0.12</v>
      </c>
      <c r="F21" s="247"/>
      <c r="G21" s="248"/>
      <c r="H21" s="245" t="s">
        <v>44</v>
      </c>
      <c r="I21" s="249">
        <v>10</v>
      </c>
      <c r="J21" s="220">
        <v>1.2</v>
      </c>
      <c r="K21" s="250" t="s">
        <v>41</v>
      </c>
      <c r="L21" s="213"/>
      <c r="M21" s="183"/>
      <c r="N21" s="183"/>
      <c r="O21" s="251"/>
      <c r="P21" s="183"/>
      <c r="Q21" s="251"/>
      <c r="R21" s="183"/>
      <c r="S21" s="183"/>
      <c r="T21" s="183"/>
      <c r="U21" s="183"/>
      <c r="V21" s="183"/>
      <c r="W21" s="183"/>
      <c r="X21" s="183"/>
      <c r="Y21" s="183"/>
      <c r="Z21" s="183"/>
    </row>
    <row r="22" spans="1:26" ht="13.5" thickBot="1" x14ac:dyDescent="0.25">
      <c r="A22" s="181"/>
      <c r="B22" s="223" t="s">
        <v>21</v>
      </c>
      <c r="C22" s="224" t="s">
        <v>51</v>
      </c>
      <c r="D22" s="260"/>
      <c r="E22" s="261">
        <v>0.04</v>
      </c>
      <c r="F22" s="261">
        <v>0.04</v>
      </c>
      <c r="G22" s="227"/>
      <c r="H22" s="224" t="s">
        <v>45</v>
      </c>
      <c r="I22" s="262">
        <v>1.7500000000000002E-2</v>
      </c>
      <c r="J22" s="220">
        <v>5.2500000000000009</v>
      </c>
      <c r="K22" s="263" t="s">
        <v>47</v>
      </c>
      <c r="L22" s="213"/>
      <c r="M22" s="183"/>
      <c r="N22" s="183"/>
      <c r="O22" s="251"/>
      <c r="P22" s="213"/>
      <c r="Q22" s="205"/>
      <c r="R22" s="205"/>
      <c r="S22" s="264"/>
      <c r="T22" s="264"/>
      <c r="U22" s="213"/>
      <c r="V22" s="205"/>
      <c r="W22" s="265"/>
      <c r="X22" s="265"/>
      <c r="Y22" s="213"/>
      <c r="Z22" s="213"/>
    </row>
    <row r="23" spans="1:26" ht="13.5" thickBot="1" x14ac:dyDescent="0.25">
      <c r="A23" s="181"/>
      <c r="B23" s="203" t="s">
        <v>14</v>
      </c>
      <c r="C23" s="255"/>
      <c r="D23" s="266"/>
      <c r="E23" s="267">
        <v>0.27999999999999997</v>
      </c>
      <c r="F23" s="267">
        <v>0.16</v>
      </c>
      <c r="G23" s="255"/>
      <c r="H23" s="268"/>
      <c r="I23" s="269"/>
      <c r="J23" s="237">
        <v>20.45</v>
      </c>
      <c r="K23" s="270"/>
      <c r="L23" s="213"/>
      <c r="M23" s="183"/>
      <c r="N23" s="183"/>
      <c r="O23" s="251"/>
      <c r="P23" s="183"/>
      <c r="Q23" s="251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181"/>
      <c r="B24" s="185" t="s">
        <v>22</v>
      </c>
      <c r="C24" s="271"/>
      <c r="D24" s="211"/>
      <c r="E24" s="210"/>
      <c r="F24" s="210"/>
      <c r="G24" s="210"/>
      <c r="H24" s="239"/>
      <c r="I24" s="243"/>
      <c r="J24" s="243"/>
      <c r="K24" s="212"/>
      <c r="L24" s="213"/>
      <c r="M24" s="183"/>
      <c r="N24" s="183"/>
      <c r="O24" s="272"/>
      <c r="P24" s="183"/>
      <c r="Q24" s="251"/>
      <c r="R24" s="183"/>
      <c r="S24" s="183"/>
      <c r="T24" s="183"/>
      <c r="U24" s="183"/>
      <c r="V24" s="183"/>
      <c r="W24" s="183"/>
      <c r="X24" s="183"/>
      <c r="Y24" s="183"/>
      <c r="Z24" s="183"/>
    </row>
    <row r="25" spans="1:26" x14ac:dyDescent="0.2">
      <c r="A25" s="181"/>
      <c r="B25" s="244" t="s">
        <v>23</v>
      </c>
      <c r="C25" s="273"/>
      <c r="D25" s="259"/>
      <c r="E25" s="274"/>
      <c r="F25" s="274"/>
      <c r="G25" s="248">
        <v>20</v>
      </c>
      <c r="H25" s="245" t="s">
        <v>45</v>
      </c>
      <c r="I25" s="249">
        <v>1.5</v>
      </c>
      <c r="J25" s="221">
        <v>30</v>
      </c>
      <c r="K25" s="250" t="s">
        <v>77</v>
      </c>
      <c r="L25" s="21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</row>
    <row r="26" spans="1:26" x14ac:dyDescent="0.2">
      <c r="A26" s="181"/>
      <c r="B26" s="244" t="s">
        <v>74</v>
      </c>
      <c r="C26" s="273"/>
      <c r="D26" s="259"/>
      <c r="E26" s="274"/>
      <c r="F26" s="274"/>
      <c r="G26" s="248">
        <v>15</v>
      </c>
      <c r="H26" s="245" t="s">
        <v>45</v>
      </c>
      <c r="I26" s="249">
        <v>1.8</v>
      </c>
      <c r="J26" s="221">
        <v>27</v>
      </c>
      <c r="K26" s="250" t="s">
        <v>48</v>
      </c>
      <c r="L26" s="21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</row>
    <row r="27" spans="1:26" x14ac:dyDescent="0.2">
      <c r="A27" s="181"/>
      <c r="B27" s="244"/>
      <c r="C27" s="273"/>
      <c r="D27" s="259"/>
      <c r="E27" s="274"/>
      <c r="F27" s="274"/>
      <c r="G27" s="248"/>
      <c r="H27" s="245"/>
      <c r="I27" s="249"/>
      <c r="J27" s="221"/>
      <c r="K27" s="250"/>
      <c r="L27" s="213"/>
      <c r="M27" s="183"/>
      <c r="N27" s="183"/>
      <c r="O27" s="251" t="s">
        <v>84</v>
      </c>
      <c r="P27" s="251" t="s">
        <v>8</v>
      </c>
      <c r="Q27" s="251" t="s">
        <v>64</v>
      </c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181"/>
      <c r="B28" s="244" t="s">
        <v>79</v>
      </c>
      <c r="C28" s="273"/>
      <c r="D28" s="246">
        <v>1</v>
      </c>
      <c r="E28" s="274"/>
      <c r="F28" s="274"/>
      <c r="G28" s="248"/>
      <c r="H28" s="245" t="s">
        <v>69</v>
      </c>
      <c r="I28" s="249">
        <v>1.5</v>
      </c>
      <c r="J28" s="221">
        <v>1.5</v>
      </c>
      <c r="K28" s="250" t="s">
        <v>80</v>
      </c>
      <c r="L28" s="213"/>
      <c r="M28" s="183"/>
      <c r="N28" s="213" t="s">
        <v>48</v>
      </c>
      <c r="O28" s="251">
        <v>15</v>
      </c>
      <c r="P28" s="214">
        <v>27</v>
      </c>
      <c r="Q28" s="171">
        <v>1.45</v>
      </c>
      <c r="R28" s="183"/>
      <c r="S28" s="183"/>
      <c r="T28" s="183"/>
      <c r="U28" s="183"/>
      <c r="V28" s="183"/>
      <c r="W28" s="183"/>
      <c r="X28" s="183"/>
      <c r="Y28" s="183"/>
      <c r="Z28" s="183"/>
    </row>
    <row r="29" spans="1:26" ht="13.5" thickBot="1" x14ac:dyDescent="0.25">
      <c r="A29" s="181"/>
      <c r="B29" s="215" t="s">
        <v>24</v>
      </c>
      <c r="C29" s="366"/>
      <c r="D29" s="276"/>
      <c r="E29" s="277"/>
      <c r="F29" s="277"/>
      <c r="G29" s="277">
        <v>0.05</v>
      </c>
      <c r="H29" s="216" t="s">
        <v>45</v>
      </c>
      <c r="I29" s="220">
        <v>2</v>
      </c>
      <c r="J29" s="221">
        <v>0.1</v>
      </c>
      <c r="K29" s="222" t="s">
        <v>49</v>
      </c>
      <c r="L29" s="213"/>
      <c r="M29" s="183"/>
      <c r="N29" s="200" t="s">
        <v>78</v>
      </c>
      <c r="O29" s="251">
        <v>15</v>
      </c>
      <c r="P29" s="214">
        <v>12.45</v>
      </c>
      <c r="Q29" s="171">
        <v>1.05</v>
      </c>
      <c r="R29" s="183"/>
      <c r="S29" s="183"/>
      <c r="T29" s="183"/>
      <c r="U29" s="183"/>
      <c r="V29" s="183"/>
      <c r="W29" s="183"/>
      <c r="X29" s="183"/>
      <c r="Y29" s="183"/>
      <c r="Z29" s="183"/>
    </row>
    <row r="30" spans="1:26" ht="13.5" thickBot="1" x14ac:dyDescent="0.25">
      <c r="A30" s="181"/>
      <c r="B30" s="230" t="s">
        <v>14</v>
      </c>
      <c r="C30" s="279"/>
      <c r="D30" s="256"/>
      <c r="E30" s="255"/>
      <c r="F30" s="255"/>
      <c r="G30" s="255"/>
      <c r="H30" s="255"/>
      <c r="I30" s="255"/>
      <c r="J30" s="237">
        <v>58.6</v>
      </c>
      <c r="K30" s="238"/>
      <c r="L30" s="213"/>
      <c r="M30" s="183"/>
      <c r="N30" s="183"/>
      <c r="O30" s="183"/>
      <c r="P30" s="183"/>
      <c r="Q30" s="254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ht="13.5" thickBot="1" x14ac:dyDescent="0.25">
      <c r="A31" s="181"/>
      <c r="B31" s="230" t="s">
        <v>25</v>
      </c>
      <c r="C31" s="280"/>
      <c r="D31" s="256"/>
      <c r="E31" s="255"/>
      <c r="F31" s="255"/>
      <c r="G31" s="255"/>
      <c r="H31" s="255"/>
      <c r="I31" s="255"/>
      <c r="J31" s="237">
        <v>102.81</v>
      </c>
      <c r="K31" s="238"/>
      <c r="L31" s="21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</row>
    <row r="32" spans="1:26" x14ac:dyDescent="0.2">
      <c r="A32" s="181"/>
      <c r="B32" s="185" t="s">
        <v>26</v>
      </c>
      <c r="C32" s="271"/>
      <c r="D32" s="211"/>
      <c r="E32" s="210"/>
      <c r="F32" s="210"/>
      <c r="G32" s="210"/>
      <c r="H32" s="210"/>
      <c r="I32" s="210"/>
      <c r="J32" s="243"/>
      <c r="K32" s="212"/>
      <c r="L32" s="21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</row>
    <row r="33" spans="1:26" x14ac:dyDescent="0.2">
      <c r="A33" s="181"/>
      <c r="B33" s="215" t="s">
        <v>27</v>
      </c>
      <c r="C33" s="275"/>
      <c r="D33" s="276"/>
      <c r="E33" s="277"/>
      <c r="F33" s="277"/>
      <c r="G33" s="277"/>
      <c r="H33" s="277"/>
      <c r="I33" s="277"/>
      <c r="J33" s="220">
        <v>10.281000000000001</v>
      </c>
      <c r="K33" s="222"/>
      <c r="L33" s="213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</row>
    <row r="34" spans="1:26" x14ac:dyDescent="0.2">
      <c r="A34" s="181"/>
      <c r="B34" s="215" t="s">
        <v>28</v>
      </c>
      <c r="C34" s="275"/>
      <c r="D34" s="276"/>
      <c r="E34" s="277"/>
      <c r="F34" s="277"/>
      <c r="G34" s="277"/>
      <c r="H34" s="277"/>
      <c r="I34" s="277"/>
      <c r="J34" s="220">
        <v>30</v>
      </c>
      <c r="K34" s="222"/>
      <c r="L34" s="213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</row>
    <row r="35" spans="1:26" x14ac:dyDescent="0.2">
      <c r="A35" s="181"/>
      <c r="B35" s="215" t="s">
        <v>29</v>
      </c>
      <c r="C35" s="275"/>
      <c r="D35" s="276"/>
      <c r="E35" s="277"/>
      <c r="F35" s="277"/>
      <c r="G35" s="277"/>
      <c r="H35" s="277"/>
      <c r="I35" s="277"/>
      <c r="J35" s="220">
        <v>10.016370000000002</v>
      </c>
      <c r="K35" s="222"/>
      <c r="L35" s="213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</row>
    <row r="36" spans="1:26" x14ac:dyDescent="0.2">
      <c r="A36" s="181"/>
      <c r="B36" s="281" t="s">
        <v>30</v>
      </c>
      <c r="C36" s="273"/>
      <c r="D36" s="282"/>
      <c r="E36" s="283"/>
      <c r="F36" s="283"/>
      <c r="G36" s="283"/>
      <c r="H36" s="283"/>
      <c r="I36" s="283"/>
      <c r="J36" s="284">
        <v>4.2927299999999997</v>
      </c>
      <c r="K36" s="263"/>
      <c r="L36" s="213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</row>
    <row r="37" spans="1:26" ht="13.5" thickBot="1" x14ac:dyDescent="0.25">
      <c r="A37" s="181"/>
      <c r="B37" s="285" t="s">
        <v>14</v>
      </c>
      <c r="C37" s="279"/>
      <c r="D37" s="286"/>
      <c r="E37" s="287"/>
      <c r="F37" s="287"/>
      <c r="G37" s="287"/>
      <c r="H37" s="287"/>
      <c r="I37" s="287"/>
      <c r="J37" s="288">
        <v>54.5901</v>
      </c>
      <c r="K37" s="289"/>
      <c r="L37" s="213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</row>
    <row r="38" spans="1:26" ht="13.5" thickBot="1" x14ac:dyDescent="0.25">
      <c r="A38" s="181"/>
      <c r="B38" s="184" t="s">
        <v>31</v>
      </c>
      <c r="C38" s="280"/>
      <c r="D38" s="256"/>
      <c r="E38" s="234"/>
      <c r="F38" s="234"/>
      <c r="G38" s="255"/>
      <c r="H38" s="255"/>
      <c r="I38" s="255"/>
      <c r="J38" s="237">
        <v>157.40010000000001</v>
      </c>
      <c r="K38" s="238"/>
      <c r="L38" s="213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</row>
    <row r="39" spans="1:26" ht="13.5" thickBot="1" x14ac:dyDescent="0.25">
      <c r="A39" s="181"/>
      <c r="B39" s="213"/>
      <c r="C39" s="213"/>
      <c r="D39" s="213"/>
      <c r="E39" s="290"/>
      <c r="F39" s="290"/>
      <c r="G39" s="213"/>
      <c r="H39" s="213"/>
      <c r="I39" s="213"/>
      <c r="J39" s="213"/>
      <c r="K39" s="213"/>
      <c r="L39" s="213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</row>
    <row r="40" spans="1:26" x14ac:dyDescent="0.2">
      <c r="A40" s="181"/>
      <c r="B40" s="291" t="s">
        <v>32</v>
      </c>
      <c r="C40" s="292" t="s">
        <v>67</v>
      </c>
      <c r="D40" s="240"/>
      <c r="E40" s="293">
        <v>300</v>
      </c>
      <c r="F40" s="240"/>
      <c r="G40" s="294"/>
      <c r="H40" s="294"/>
      <c r="I40" s="294"/>
      <c r="J40" s="294"/>
      <c r="K40" s="212"/>
      <c r="L40" s="213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</row>
    <row r="41" spans="1:26" x14ac:dyDescent="0.2">
      <c r="A41" s="181"/>
      <c r="B41" s="215" t="s">
        <v>33</v>
      </c>
      <c r="C41" s="295" t="s">
        <v>68</v>
      </c>
      <c r="D41" s="295"/>
      <c r="E41" s="296">
        <v>10</v>
      </c>
      <c r="F41" s="297"/>
      <c r="G41" s="166" t="s">
        <v>250</v>
      </c>
      <c r="H41" s="213"/>
      <c r="I41" s="213"/>
      <c r="J41" s="213"/>
      <c r="K41" s="263"/>
      <c r="L41" s="213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</row>
    <row r="42" spans="1:26" x14ac:dyDescent="0.2">
      <c r="A42" s="181"/>
      <c r="B42" s="215" t="s">
        <v>34</v>
      </c>
      <c r="C42" s="295" t="s">
        <v>68</v>
      </c>
      <c r="D42" s="295"/>
      <c r="E42" s="296">
        <v>149.40010000000001</v>
      </c>
      <c r="F42" s="297"/>
      <c r="G42" s="298"/>
      <c r="H42" s="298"/>
      <c r="I42" s="298"/>
      <c r="J42" s="298"/>
      <c r="K42" s="222"/>
      <c r="L42" s="213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</row>
    <row r="43" spans="1:26" x14ac:dyDescent="0.2">
      <c r="A43" s="181"/>
      <c r="B43" s="215" t="s">
        <v>34</v>
      </c>
      <c r="C43" s="295" t="s">
        <v>35</v>
      </c>
      <c r="D43" s="295"/>
      <c r="E43" s="296">
        <v>0.49800033333333338</v>
      </c>
      <c r="F43" s="297"/>
      <c r="G43" s="213"/>
      <c r="H43" s="213"/>
      <c r="I43" s="213"/>
      <c r="J43" s="213"/>
      <c r="K43" s="263"/>
      <c r="L43" s="213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</row>
    <row r="44" spans="1:26" ht="13.5" thickBot="1" x14ac:dyDescent="0.25">
      <c r="A44" s="181"/>
      <c r="B44" s="285" t="s">
        <v>81</v>
      </c>
      <c r="C44" s="299" t="s">
        <v>35</v>
      </c>
      <c r="D44" s="299"/>
      <c r="E44" s="300">
        <v>0.64740043333333341</v>
      </c>
      <c r="F44" s="301"/>
      <c r="G44" s="278"/>
      <c r="H44" s="278"/>
      <c r="I44" s="278"/>
      <c r="J44" s="278"/>
      <c r="K44" s="302"/>
      <c r="L44" s="213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</row>
    <row r="45" spans="1:26" x14ac:dyDescent="0.2">
      <c r="A45" s="181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213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</row>
    <row r="46" spans="1:26" x14ac:dyDescent="0.2">
      <c r="A46" s="181"/>
      <c r="B46" s="200" t="s">
        <v>82</v>
      </c>
      <c r="C46" s="205"/>
      <c r="D46" s="205"/>
      <c r="E46" s="303"/>
      <c r="F46" s="303"/>
      <c r="G46" s="213"/>
      <c r="H46" s="213"/>
      <c r="I46" s="213"/>
      <c r="J46" s="213"/>
      <c r="K46" s="213"/>
      <c r="L46" s="213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</row>
    <row r="47" spans="1:26" x14ac:dyDescent="0.2">
      <c r="A47" s="181"/>
      <c r="B47" s="200" t="s">
        <v>217</v>
      </c>
      <c r="C47" s="205"/>
      <c r="D47" s="205"/>
      <c r="E47" s="303"/>
      <c r="F47" s="303"/>
      <c r="G47" s="213"/>
      <c r="H47" s="213"/>
      <c r="I47" s="213"/>
      <c r="J47" s="213"/>
      <c r="K47" s="213"/>
      <c r="L47" s="213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</row>
    <row r="48" spans="1:26" x14ac:dyDescent="0.2">
      <c r="A48" s="181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213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</row>
    <row r="49" spans="1:26" x14ac:dyDescent="0.2">
      <c r="A49" s="181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213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</row>
    <row r="50" spans="1:26" x14ac:dyDescent="0.2">
      <c r="A50" s="181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</row>
    <row r="51" spans="1:26" x14ac:dyDescent="0.2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</row>
    <row r="52" spans="1:26" x14ac:dyDescent="0.2">
      <c r="A52" s="181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</row>
    <row r="53" spans="1:26" x14ac:dyDescent="0.2">
      <c r="A53" s="181"/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</row>
    <row r="54" spans="1:26" x14ac:dyDescent="0.2">
      <c r="A54" s="181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</row>
    <row r="55" spans="1:26" x14ac:dyDescent="0.2">
      <c r="A55" s="181"/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</row>
    <row r="56" spans="1:26" x14ac:dyDescent="0.2">
      <c r="A56" s="181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</row>
    <row r="57" spans="1:26" x14ac:dyDescent="0.2">
      <c r="A57" s="18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</row>
    <row r="58" spans="1:26" x14ac:dyDescent="0.2">
      <c r="A58" s="18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</row>
    <row r="59" spans="1:26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</row>
    <row r="60" spans="1:26" x14ac:dyDescent="0.2">
      <c r="A60" s="18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</row>
    <row r="61" spans="1:26" x14ac:dyDescent="0.2">
      <c r="A61" s="181"/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</row>
    <row r="62" spans="1:26" x14ac:dyDescent="0.2">
      <c r="A62" s="181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</row>
    <row r="63" spans="1:26" x14ac:dyDescent="0.2">
      <c r="A63" s="181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</row>
    <row r="64" spans="1:26" x14ac:dyDescent="0.2">
      <c r="A64" s="181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</row>
    <row r="65" spans="1:26" x14ac:dyDescent="0.2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</row>
    <row r="66" spans="1:26" x14ac:dyDescent="0.2">
      <c r="A66" s="181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</row>
    <row r="67" spans="1:26" x14ac:dyDescent="0.2">
      <c r="A67" s="181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</row>
    <row r="68" spans="1:26" x14ac:dyDescent="0.2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</row>
    <row r="69" spans="1:26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</row>
    <row r="70" spans="1:26" x14ac:dyDescent="0.2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</row>
    <row r="71" spans="1:26" x14ac:dyDescent="0.2">
      <c r="A71" s="181"/>
      <c r="B71" s="181"/>
      <c r="C71" s="181"/>
      <c r="D71" s="181"/>
      <c r="E71" s="181"/>
      <c r="F71" s="181"/>
      <c r="G71" s="181"/>
      <c r="H71" s="181"/>
      <c r="I71" s="345"/>
      <c r="J71" s="345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</row>
    <row r="72" spans="1:26" x14ac:dyDescent="0.2">
      <c r="A72" s="181"/>
      <c r="B72" s="181"/>
      <c r="C72" s="181"/>
      <c r="D72" s="181"/>
      <c r="E72" s="181"/>
      <c r="F72" s="181"/>
      <c r="G72" s="181"/>
      <c r="H72" s="181"/>
      <c r="I72" s="344"/>
      <c r="J72" s="344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</row>
    <row r="73" spans="1:26" x14ac:dyDescent="0.2">
      <c r="A73" s="181"/>
      <c r="B73" s="181"/>
      <c r="C73" s="181"/>
      <c r="D73" s="181"/>
      <c r="E73" s="181"/>
      <c r="F73" s="181"/>
      <c r="G73" s="181"/>
      <c r="H73" s="181"/>
      <c r="I73" s="344"/>
      <c r="J73" s="344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</row>
    <row r="74" spans="1:26" x14ac:dyDescent="0.2">
      <c r="A74" s="181"/>
      <c r="B74" s="181"/>
      <c r="C74" s="181"/>
      <c r="D74" s="181"/>
      <c r="E74" s="181"/>
      <c r="F74" s="181"/>
      <c r="G74" s="181"/>
      <c r="H74" s="181"/>
      <c r="I74" s="344"/>
      <c r="J74" s="344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</row>
    <row r="75" spans="1:26" x14ac:dyDescent="0.2">
      <c r="A75" s="181"/>
      <c r="B75" s="181"/>
      <c r="C75" s="181"/>
      <c r="D75" s="181"/>
      <c r="E75" s="181"/>
      <c r="F75" s="181"/>
      <c r="G75" s="181"/>
      <c r="H75" s="181"/>
      <c r="I75" s="344"/>
      <c r="J75" s="344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</row>
    <row r="76" spans="1:26" x14ac:dyDescent="0.2">
      <c r="A76" s="181"/>
      <c r="B76" s="181"/>
      <c r="C76" s="181"/>
      <c r="D76" s="181"/>
      <c r="E76" s="181"/>
      <c r="F76" s="181"/>
      <c r="G76" s="181"/>
      <c r="H76" s="181"/>
      <c r="I76" s="344"/>
      <c r="J76" s="344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</row>
    <row r="77" spans="1:26" x14ac:dyDescent="0.2">
      <c r="A77" s="181"/>
      <c r="B77" s="181"/>
      <c r="C77" s="181"/>
      <c r="D77" s="181"/>
      <c r="E77" s="181"/>
      <c r="F77" s="181"/>
      <c r="G77" s="181"/>
      <c r="H77" s="181"/>
      <c r="I77" s="344"/>
      <c r="J77" s="344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</row>
  </sheetData>
  <mergeCells count="11">
    <mergeCell ref="I72:J72"/>
    <mergeCell ref="B1:I1"/>
    <mergeCell ref="C3:D5"/>
    <mergeCell ref="E3:F3"/>
    <mergeCell ref="E4:F4"/>
    <mergeCell ref="I71:J71"/>
    <mergeCell ref="I73:J73"/>
    <mergeCell ref="I74:J74"/>
    <mergeCell ref="I75:J75"/>
    <mergeCell ref="I76:J76"/>
    <mergeCell ref="I77:J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9"/>
  <sheetViews>
    <sheetView topLeftCell="A28" zoomScaleNormal="100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6.42578125" style="25" customWidth="1"/>
    <col min="3" max="3" width="13.85546875" style="25" customWidth="1"/>
    <col min="4" max="4" width="4.85546875" style="25" customWidth="1"/>
    <col min="5" max="5" width="9.85546875" style="25" bestFit="1" customWidth="1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11.42578125" style="25" customWidth="1"/>
    <col min="14" max="14" width="14" style="25" hidden="1" customWidth="1"/>
    <col min="15" max="17" width="11.42578125" style="25" hidden="1" customWidth="1"/>
    <col min="18" max="19" width="11.42578125" style="25" customWidth="1"/>
    <col min="20" max="16384" width="9.140625" style="25"/>
  </cols>
  <sheetData>
    <row r="1" spans="2:17" s="19" customFormat="1" x14ac:dyDescent="0.2">
      <c r="B1" s="333" t="s">
        <v>236</v>
      </c>
      <c r="C1" s="333"/>
      <c r="D1" s="333"/>
      <c r="E1" s="333"/>
      <c r="F1" s="333"/>
      <c r="G1" s="333"/>
      <c r="H1" s="333"/>
      <c r="I1" s="333"/>
    </row>
    <row r="2" spans="2:17" s="19" customFormat="1" ht="13.5" thickBot="1" x14ac:dyDescent="0.25"/>
    <row r="3" spans="2:17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7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7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7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7" x14ac:dyDescent="0.2">
      <c r="B7" s="35" t="s">
        <v>56</v>
      </c>
      <c r="C7" s="36" t="s">
        <v>59</v>
      </c>
      <c r="D7" s="37">
        <v>1</v>
      </c>
      <c r="E7" s="38">
        <v>0.59</v>
      </c>
      <c r="F7" s="38">
        <v>0.59</v>
      </c>
      <c r="G7" s="39">
        <v>1.7</v>
      </c>
      <c r="H7" s="36" t="s">
        <v>69</v>
      </c>
      <c r="I7" s="40">
        <f>P11</f>
        <v>4.5999999999999996</v>
      </c>
      <c r="J7" s="41">
        <f>D7*(G7*I7)+(E7*P12)</f>
        <v>14.309999999999999</v>
      </c>
      <c r="K7" s="42" t="s">
        <v>37</v>
      </c>
      <c r="L7" s="33"/>
      <c r="P7" s="34"/>
    </row>
    <row r="8" spans="2:17" x14ac:dyDescent="0.2">
      <c r="B8" s="35" t="s">
        <v>103</v>
      </c>
      <c r="C8" s="36" t="s">
        <v>102</v>
      </c>
      <c r="D8" s="37"/>
      <c r="E8" s="38">
        <v>0.14000000000000001</v>
      </c>
      <c r="F8" s="38">
        <v>0.14000000000000001</v>
      </c>
      <c r="G8" s="39">
        <v>1</v>
      </c>
      <c r="H8" s="36" t="s">
        <v>69</v>
      </c>
      <c r="I8" s="40">
        <f>P11</f>
        <v>4.5999999999999996</v>
      </c>
      <c r="J8" s="41">
        <f>(I8*G8)+(P12*E8)</f>
        <v>6.14</v>
      </c>
      <c r="K8" s="42" t="s">
        <v>39</v>
      </c>
      <c r="L8" s="33"/>
      <c r="P8" s="34"/>
    </row>
    <row r="9" spans="2:17" x14ac:dyDescent="0.2">
      <c r="B9" s="35" t="s">
        <v>12</v>
      </c>
      <c r="C9" s="36" t="s">
        <v>83</v>
      </c>
      <c r="D9" s="37">
        <v>1</v>
      </c>
      <c r="E9" s="38">
        <v>0.14000000000000001</v>
      </c>
      <c r="F9" s="38">
        <v>0.14000000000000001</v>
      </c>
      <c r="G9" s="39">
        <v>0.7</v>
      </c>
      <c r="H9" s="36" t="s">
        <v>69</v>
      </c>
      <c r="I9" s="40">
        <f>P11</f>
        <v>4.5999999999999996</v>
      </c>
      <c r="J9" s="41">
        <f>(I9*G9)+(P12*E9)</f>
        <v>4.76</v>
      </c>
      <c r="K9" s="42" t="s">
        <v>38</v>
      </c>
      <c r="L9" s="33"/>
      <c r="P9" s="34"/>
    </row>
    <row r="10" spans="2:17" x14ac:dyDescent="0.2">
      <c r="B10" s="35" t="s">
        <v>13</v>
      </c>
      <c r="C10" s="36" t="s">
        <v>83</v>
      </c>
      <c r="D10" s="37">
        <v>1</v>
      </c>
      <c r="E10" s="38">
        <v>0.08</v>
      </c>
      <c r="F10" s="38">
        <v>0.08</v>
      </c>
      <c r="G10" s="39">
        <v>0.7</v>
      </c>
      <c r="H10" s="36" t="s">
        <v>69</v>
      </c>
      <c r="I10" s="40">
        <f>P11</f>
        <v>4.5999999999999996</v>
      </c>
      <c r="J10" s="41">
        <f>(I10*G10)+(P11*E10)</f>
        <v>3.5879999999999996</v>
      </c>
      <c r="K10" s="42" t="s">
        <v>167</v>
      </c>
      <c r="L10" s="33"/>
      <c r="P10" s="25" t="s">
        <v>222</v>
      </c>
    </row>
    <row r="11" spans="2:17" ht="13.5" thickBot="1" x14ac:dyDescent="0.25">
      <c r="B11" s="43" t="s">
        <v>13</v>
      </c>
      <c r="C11" s="44" t="s">
        <v>83</v>
      </c>
      <c r="D11" s="45"/>
      <c r="E11" s="46">
        <v>0.08</v>
      </c>
      <c r="F11" s="46"/>
      <c r="G11" s="47"/>
      <c r="H11" s="44" t="s">
        <v>44</v>
      </c>
      <c r="I11" s="48">
        <f>P12</f>
        <v>11</v>
      </c>
      <c r="J11" s="41">
        <f>P12*E11</f>
        <v>0.88</v>
      </c>
      <c r="K11" s="49" t="s">
        <v>166</v>
      </c>
      <c r="L11" s="33"/>
      <c r="N11" s="25" t="s">
        <v>87</v>
      </c>
      <c r="P11" s="176">
        <v>4.5999999999999996</v>
      </c>
      <c r="Q11" s="328" t="s">
        <v>66</v>
      </c>
    </row>
    <row r="12" spans="2:17" ht="13.5" thickBot="1" x14ac:dyDescent="0.25">
      <c r="B12" s="50" t="s">
        <v>14</v>
      </c>
      <c r="C12" s="51"/>
      <c r="D12" s="52"/>
      <c r="E12" s="53">
        <f>SUM(E7:E11)</f>
        <v>1.03</v>
      </c>
      <c r="F12" s="54">
        <f>SUM(F7:F11)</f>
        <v>0.95</v>
      </c>
      <c r="G12" s="55"/>
      <c r="H12" s="52"/>
      <c r="I12" s="56"/>
      <c r="J12" s="57">
        <f>SUM(J7:J11)</f>
        <v>29.678000000000001</v>
      </c>
      <c r="K12" s="58"/>
      <c r="L12" s="33"/>
      <c r="N12" s="25" t="s">
        <v>177</v>
      </c>
      <c r="P12" s="34">
        <v>11</v>
      </c>
    </row>
    <row r="13" spans="2:17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178</v>
      </c>
      <c r="P13" s="34">
        <v>7.5</v>
      </c>
    </row>
    <row r="14" spans="2:17" x14ac:dyDescent="0.2">
      <c r="B14" s="64" t="s">
        <v>16</v>
      </c>
      <c r="C14" s="65" t="s">
        <v>58</v>
      </c>
      <c r="D14" s="66">
        <v>1</v>
      </c>
      <c r="E14" s="67">
        <v>0.09</v>
      </c>
      <c r="F14" s="67">
        <v>0.09</v>
      </c>
      <c r="G14" s="68">
        <v>0.3</v>
      </c>
      <c r="H14" s="65" t="s">
        <v>69</v>
      </c>
      <c r="I14" s="69">
        <f>P11</f>
        <v>4.5999999999999996</v>
      </c>
      <c r="J14" s="41">
        <f>(P12*E14)+(G14*I14)</f>
        <v>2.37</v>
      </c>
      <c r="K14" s="70" t="s">
        <v>42</v>
      </c>
      <c r="L14" s="33"/>
      <c r="N14" s="25" t="s">
        <v>21</v>
      </c>
      <c r="P14" s="34">
        <v>50</v>
      </c>
    </row>
    <row r="15" spans="2:17" x14ac:dyDescent="0.2">
      <c r="B15" s="35" t="s">
        <v>16</v>
      </c>
      <c r="C15" s="36" t="s">
        <v>58</v>
      </c>
      <c r="D15" s="37"/>
      <c r="E15" s="38">
        <v>0.09</v>
      </c>
      <c r="F15" s="38"/>
      <c r="G15" s="39"/>
      <c r="H15" s="36" t="s">
        <v>44</v>
      </c>
      <c r="I15" s="40">
        <f>P12</f>
        <v>11</v>
      </c>
      <c r="J15" s="40">
        <f>I15*E15</f>
        <v>0.99</v>
      </c>
      <c r="K15" s="42" t="s">
        <v>41</v>
      </c>
      <c r="L15" s="33"/>
      <c r="N15" s="25" t="s">
        <v>28</v>
      </c>
      <c r="P15" s="34">
        <v>210</v>
      </c>
    </row>
    <row r="16" spans="2:17" x14ac:dyDescent="0.2">
      <c r="B16" s="64" t="s">
        <v>17</v>
      </c>
      <c r="C16" s="65" t="s">
        <v>101</v>
      </c>
      <c r="D16" s="66">
        <v>1</v>
      </c>
      <c r="E16" s="67">
        <v>0.08</v>
      </c>
      <c r="F16" s="67">
        <v>0.08</v>
      </c>
      <c r="G16" s="68">
        <v>0.3</v>
      </c>
      <c r="H16" s="65" t="s">
        <v>69</v>
      </c>
      <c r="I16" s="69">
        <f>P11</f>
        <v>4.5999999999999996</v>
      </c>
      <c r="J16" s="41">
        <f>(G16*I16)</f>
        <v>1.38</v>
      </c>
      <c r="K16" s="70" t="s">
        <v>43</v>
      </c>
      <c r="L16" s="33"/>
      <c r="N16" s="25" t="s">
        <v>79</v>
      </c>
      <c r="O16" s="71"/>
      <c r="P16" s="34">
        <v>1.7</v>
      </c>
    </row>
    <row r="17" spans="2:26" ht="13.5" thickBot="1" x14ac:dyDescent="0.25">
      <c r="B17" s="35" t="s">
        <v>17</v>
      </c>
      <c r="C17" s="36" t="s">
        <v>101</v>
      </c>
      <c r="D17" s="37"/>
      <c r="E17" s="38">
        <v>0.08</v>
      </c>
      <c r="F17" s="72"/>
      <c r="G17" s="39"/>
      <c r="H17" s="36" t="s">
        <v>44</v>
      </c>
      <c r="I17" s="40">
        <f>P12</f>
        <v>11</v>
      </c>
      <c r="J17" s="41">
        <f>(I17*E17)</f>
        <v>0.88</v>
      </c>
      <c r="K17" s="73" t="s">
        <v>41</v>
      </c>
      <c r="L17" s="33"/>
      <c r="N17" s="25" t="s">
        <v>63</v>
      </c>
      <c r="P17" s="34">
        <v>27</v>
      </c>
      <c r="Q17" s="74"/>
    </row>
    <row r="18" spans="2:26" ht="13.5" thickBot="1" x14ac:dyDescent="0.25">
      <c r="B18" s="35" t="s">
        <v>85</v>
      </c>
      <c r="C18" s="36" t="s">
        <v>100</v>
      </c>
      <c r="D18" s="37">
        <v>5</v>
      </c>
      <c r="E18" s="38">
        <v>2.77</v>
      </c>
      <c r="F18" s="72">
        <v>1.8</v>
      </c>
      <c r="G18" s="77">
        <v>3</v>
      </c>
      <c r="H18" s="36" t="s">
        <v>69</v>
      </c>
      <c r="I18" s="129">
        <f>P11</f>
        <v>4.5999999999999996</v>
      </c>
      <c r="J18" s="41">
        <f>(I18*(F18*G18)+(E18*P12))*D18</f>
        <v>276.55</v>
      </c>
      <c r="K18" s="42" t="s">
        <v>86</v>
      </c>
      <c r="N18" s="25" t="s">
        <v>65</v>
      </c>
      <c r="P18" s="25">
        <v>25</v>
      </c>
    </row>
    <row r="19" spans="2:26" x14ac:dyDescent="0.2">
      <c r="B19" s="35" t="s">
        <v>180</v>
      </c>
      <c r="C19" s="36" t="s">
        <v>99</v>
      </c>
      <c r="D19" s="37">
        <v>3</v>
      </c>
      <c r="E19" s="38">
        <v>8</v>
      </c>
      <c r="F19" s="72">
        <v>0.2</v>
      </c>
      <c r="G19" s="62">
        <v>3</v>
      </c>
      <c r="H19" s="36" t="s">
        <v>44</v>
      </c>
      <c r="I19" s="40">
        <f>P19</f>
        <v>7.5</v>
      </c>
      <c r="J19" s="41">
        <f>D19*(I19*E19)+(F19*G10)</f>
        <v>180.14</v>
      </c>
      <c r="K19" s="42" t="s">
        <v>105</v>
      </c>
      <c r="N19" s="25" t="s">
        <v>178</v>
      </c>
      <c r="P19" s="142">
        <v>7.5</v>
      </c>
    </row>
    <row r="20" spans="2:26" ht="13.5" thickBot="1" x14ac:dyDescent="0.25">
      <c r="B20" s="43" t="s">
        <v>14</v>
      </c>
      <c r="C20" s="143"/>
      <c r="D20" s="80"/>
      <c r="E20" s="46">
        <f>SUM(E14:E19)</f>
        <v>11.11</v>
      </c>
      <c r="F20" s="46">
        <f>SUM(F14:F19)</f>
        <v>2.17</v>
      </c>
      <c r="G20" s="68"/>
      <c r="H20" s="44"/>
      <c r="I20" s="145"/>
      <c r="J20" s="82">
        <f>SUM(J14:J19)</f>
        <v>462.31</v>
      </c>
      <c r="K20" s="49"/>
      <c r="L20" s="33"/>
      <c r="N20" s="25" t="s">
        <v>95</v>
      </c>
      <c r="P20" s="34">
        <v>200</v>
      </c>
    </row>
    <row r="21" spans="2:26" x14ac:dyDescent="0.2">
      <c r="B21" s="3" t="s">
        <v>18</v>
      </c>
      <c r="C21" s="30"/>
      <c r="D21" s="31"/>
      <c r="E21" s="61"/>
      <c r="F21" s="61"/>
      <c r="G21" s="68"/>
      <c r="H21" s="59"/>
      <c r="I21" s="63"/>
      <c r="J21" s="63"/>
      <c r="K21" s="32"/>
      <c r="L21" s="33"/>
      <c r="N21" s="25" t="s">
        <v>96</v>
      </c>
      <c r="P21" s="34">
        <v>0.2</v>
      </c>
    </row>
    <row r="22" spans="2:26" ht="13.5" thickBot="1" x14ac:dyDescent="0.25">
      <c r="B22" s="64" t="s">
        <v>106</v>
      </c>
      <c r="C22" s="65" t="s">
        <v>107</v>
      </c>
      <c r="D22" s="66">
        <v>1</v>
      </c>
      <c r="E22" s="67">
        <v>24</v>
      </c>
      <c r="F22" s="67"/>
      <c r="G22" s="47"/>
      <c r="H22" s="65" t="s">
        <v>44</v>
      </c>
      <c r="I22" s="69">
        <f>P19</f>
        <v>7.5</v>
      </c>
      <c r="J22" s="41">
        <f>I22*E22</f>
        <v>180</v>
      </c>
      <c r="K22" s="70" t="s">
        <v>105</v>
      </c>
      <c r="L22" s="33"/>
      <c r="O22" s="71"/>
      <c r="Q22" s="71"/>
    </row>
    <row r="23" spans="2:26" ht="13.5" thickBot="1" x14ac:dyDescent="0.25">
      <c r="B23" s="64" t="s">
        <v>108</v>
      </c>
      <c r="C23" s="65" t="s">
        <v>107</v>
      </c>
      <c r="D23" s="79"/>
      <c r="E23" s="67">
        <v>1.5</v>
      </c>
      <c r="F23" s="67"/>
      <c r="G23" s="75"/>
      <c r="H23" s="65" t="s">
        <v>44</v>
      </c>
      <c r="I23" s="69">
        <f>P12</f>
        <v>11</v>
      </c>
      <c r="J23" s="40">
        <f>(I23*E23)</f>
        <v>16.5</v>
      </c>
      <c r="K23" s="70" t="s">
        <v>109</v>
      </c>
      <c r="L23" s="33"/>
      <c r="O23" s="71"/>
      <c r="P23" s="33"/>
      <c r="Q23" s="24"/>
      <c r="R23" s="24"/>
      <c r="S23" s="84"/>
      <c r="T23" s="84"/>
      <c r="U23" s="33"/>
      <c r="V23" s="24"/>
      <c r="W23" s="85"/>
      <c r="X23" s="85"/>
      <c r="Y23" s="33"/>
      <c r="Z23" s="33"/>
    </row>
    <row r="24" spans="2:26" ht="13.5" thickBot="1" x14ac:dyDescent="0.25">
      <c r="B24" s="43" t="s">
        <v>21</v>
      </c>
      <c r="C24" s="44" t="s">
        <v>51</v>
      </c>
      <c r="D24" s="80"/>
      <c r="E24" s="81">
        <v>0.05</v>
      </c>
      <c r="F24" s="81">
        <v>0.05</v>
      </c>
      <c r="G24" s="30"/>
      <c r="H24" s="44" t="s">
        <v>69</v>
      </c>
      <c r="I24" s="146">
        <f>P14/5500</f>
        <v>9.0909090909090905E-3</v>
      </c>
      <c r="J24" s="40">
        <f>I24*E44</f>
        <v>59.090909090909086</v>
      </c>
      <c r="K24" s="83" t="s">
        <v>47</v>
      </c>
      <c r="L24" s="33"/>
      <c r="O24" s="71"/>
      <c r="Q24" s="71">
        <v>1</v>
      </c>
    </row>
    <row r="25" spans="2:26" ht="13.5" thickBot="1" x14ac:dyDescent="0.25">
      <c r="B25" s="22" t="s">
        <v>14</v>
      </c>
      <c r="C25" s="75"/>
      <c r="D25" s="86"/>
      <c r="E25" s="87">
        <f>SUM(E22:E24)</f>
        <v>25.55</v>
      </c>
      <c r="F25" s="87">
        <f>SUM(F22:F24)</f>
        <v>0.05</v>
      </c>
      <c r="G25" s="30"/>
      <c r="H25" s="88"/>
      <c r="I25" s="89"/>
      <c r="J25" s="57">
        <f>SUM(J22:J24)</f>
        <v>255.59090909090909</v>
      </c>
      <c r="K25" s="90"/>
      <c r="L25" s="33"/>
      <c r="O25" s="92"/>
      <c r="Q25" s="71"/>
    </row>
    <row r="26" spans="2:26" x14ac:dyDescent="0.2">
      <c r="B26" s="3" t="s">
        <v>22</v>
      </c>
      <c r="C26" s="91"/>
      <c r="D26" s="31"/>
      <c r="E26" s="30"/>
      <c r="F26" s="30"/>
      <c r="G26" s="139"/>
      <c r="H26" s="59"/>
      <c r="I26" s="63"/>
      <c r="J26" s="63"/>
      <c r="K26" s="32"/>
      <c r="L26" s="33"/>
    </row>
    <row r="27" spans="2:26" x14ac:dyDescent="0.2">
      <c r="B27" s="64" t="s">
        <v>23</v>
      </c>
      <c r="C27" s="93"/>
      <c r="D27" s="79"/>
      <c r="E27" s="94"/>
      <c r="F27" s="94"/>
      <c r="G27" s="140">
        <f>P21</f>
        <v>0.2</v>
      </c>
      <c r="H27" s="65" t="s">
        <v>45</v>
      </c>
      <c r="I27" s="69">
        <f>P20</f>
        <v>200</v>
      </c>
      <c r="J27" s="41">
        <f>(I27*G27)</f>
        <v>40</v>
      </c>
      <c r="K27" s="70" t="s">
        <v>77</v>
      </c>
      <c r="L27" s="33"/>
    </row>
    <row r="28" spans="2:26" x14ac:dyDescent="0.2">
      <c r="B28" s="64" t="s">
        <v>74</v>
      </c>
      <c r="C28" s="93"/>
      <c r="D28" s="79"/>
      <c r="E28" s="94"/>
      <c r="F28" s="94"/>
      <c r="G28" s="140">
        <f>O29</f>
        <v>40</v>
      </c>
      <c r="H28" s="65" t="s">
        <v>45</v>
      </c>
      <c r="I28" s="69">
        <f>Q29</f>
        <v>1.2</v>
      </c>
      <c r="J28" s="41">
        <f>(I28*G28)</f>
        <v>48</v>
      </c>
      <c r="K28" s="83" t="s">
        <v>205</v>
      </c>
      <c r="L28" s="33"/>
      <c r="O28" s="71" t="s">
        <v>84</v>
      </c>
      <c r="P28" s="71" t="s">
        <v>8</v>
      </c>
      <c r="Q28" s="71" t="s">
        <v>64</v>
      </c>
    </row>
    <row r="29" spans="2:26" x14ac:dyDescent="0.2">
      <c r="B29" s="64" t="s">
        <v>75</v>
      </c>
      <c r="C29" s="93"/>
      <c r="D29" s="79"/>
      <c r="E29" s="94"/>
      <c r="F29" s="94"/>
      <c r="G29" s="140">
        <f>O30</f>
        <v>50</v>
      </c>
      <c r="H29" s="65" t="s">
        <v>45</v>
      </c>
      <c r="I29" s="69">
        <f>Q30</f>
        <v>1.05</v>
      </c>
      <c r="J29" s="41">
        <f>(I29*G29)</f>
        <v>52.5</v>
      </c>
      <c r="K29" s="83" t="s">
        <v>184</v>
      </c>
      <c r="L29" s="33"/>
      <c r="N29" s="168" t="s">
        <v>226</v>
      </c>
      <c r="O29" s="71">
        <v>40</v>
      </c>
      <c r="P29" s="34">
        <f>(Q29*O29)</f>
        <v>48</v>
      </c>
      <c r="Q29" s="74">
        <v>1.2</v>
      </c>
    </row>
    <row r="30" spans="2:26" x14ac:dyDescent="0.2">
      <c r="B30" s="64" t="s">
        <v>207</v>
      </c>
      <c r="C30" s="93"/>
      <c r="D30" s="79"/>
      <c r="E30" s="94"/>
      <c r="F30" s="94"/>
      <c r="G30" s="140">
        <f>O31</f>
        <v>0</v>
      </c>
      <c r="H30" s="65" t="s">
        <v>45</v>
      </c>
      <c r="I30" s="69">
        <f>Q31</f>
        <v>0</v>
      </c>
      <c r="J30" s="41">
        <f>P31</f>
        <v>0</v>
      </c>
      <c r="K30" s="83" t="s">
        <v>206</v>
      </c>
      <c r="L30" s="33"/>
      <c r="N30" s="169" t="s">
        <v>97</v>
      </c>
      <c r="O30" s="71">
        <v>50</v>
      </c>
      <c r="P30" s="34">
        <f>(Q30*O30)</f>
        <v>52.5</v>
      </c>
      <c r="Q30" s="74">
        <v>1.05</v>
      </c>
    </row>
    <row r="31" spans="2:26" x14ac:dyDescent="0.2">
      <c r="B31" s="64" t="s">
        <v>79</v>
      </c>
      <c r="C31" s="93"/>
      <c r="D31" s="66">
        <v>1</v>
      </c>
      <c r="E31" s="94"/>
      <c r="F31" s="94"/>
      <c r="G31" s="140"/>
      <c r="H31" s="65" t="s">
        <v>69</v>
      </c>
      <c r="I31" s="69">
        <f>P16</f>
        <v>1.7</v>
      </c>
      <c r="J31" s="41">
        <f>P16</f>
        <v>1.7</v>
      </c>
      <c r="K31" s="70" t="s">
        <v>80</v>
      </c>
      <c r="L31" s="33"/>
      <c r="N31" s="170"/>
      <c r="O31" s="71"/>
      <c r="P31" s="159"/>
      <c r="Q31" s="74"/>
    </row>
    <row r="32" spans="2:26" x14ac:dyDescent="0.2">
      <c r="B32" s="35" t="s">
        <v>24</v>
      </c>
      <c r="C32" s="95"/>
      <c r="D32" s="96"/>
      <c r="E32" s="97"/>
      <c r="F32" s="97"/>
      <c r="G32" s="137">
        <v>2.25</v>
      </c>
      <c r="H32" s="36" t="s">
        <v>45</v>
      </c>
      <c r="I32" s="40">
        <f>P17</f>
        <v>27</v>
      </c>
      <c r="J32" s="41">
        <f>(I32*G32)</f>
        <v>60.75</v>
      </c>
      <c r="K32" s="167" t="s">
        <v>228</v>
      </c>
      <c r="L32" s="33"/>
    </row>
    <row r="33" spans="2:12" ht="13.5" thickBot="1" x14ac:dyDescent="0.25">
      <c r="B33" s="98" t="s">
        <v>57</v>
      </c>
      <c r="C33" s="99"/>
      <c r="D33" s="158">
        <v>1</v>
      </c>
      <c r="E33" s="101"/>
      <c r="F33" s="101"/>
      <c r="G33" s="147"/>
      <c r="H33" s="102" t="s">
        <v>69</v>
      </c>
      <c r="I33" s="48">
        <f>P18</f>
        <v>25</v>
      </c>
      <c r="J33" s="82">
        <f>P18</f>
        <v>25</v>
      </c>
      <c r="K33" s="49" t="s">
        <v>88</v>
      </c>
      <c r="L33" s="33"/>
    </row>
    <row r="34" spans="2:12" ht="13.5" thickBot="1" x14ac:dyDescent="0.25">
      <c r="B34" s="50" t="s">
        <v>14</v>
      </c>
      <c r="C34" s="103"/>
      <c r="D34" s="76"/>
      <c r="E34" s="75"/>
      <c r="F34" s="75"/>
      <c r="G34" s="75"/>
      <c r="H34" s="75"/>
      <c r="I34" s="75"/>
      <c r="J34" s="57">
        <f>SUM(J27:J33)</f>
        <v>227.95</v>
      </c>
      <c r="K34" s="58"/>
      <c r="L34" s="33"/>
    </row>
    <row r="35" spans="2:12" ht="13.5" thickBot="1" x14ac:dyDescent="0.25">
      <c r="B35" s="50" t="s">
        <v>25</v>
      </c>
      <c r="C35" s="104"/>
      <c r="D35" s="76"/>
      <c r="E35" s="75"/>
      <c r="F35" s="75"/>
      <c r="G35" s="75"/>
      <c r="H35" s="75"/>
      <c r="I35" s="75"/>
      <c r="J35" s="57">
        <f>(J12+J20+J25+J34)</f>
        <v>975.52890909090911</v>
      </c>
      <c r="K35" s="58"/>
      <c r="L35" s="33"/>
    </row>
    <row r="36" spans="2:12" x14ac:dyDescent="0.2">
      <c r="B36" s="3" t="s">
        <v>26</v>
      </c>
      <c r="C36" s="91"/>
      <c r="D36" s="31"/>
      <c r="E36" s="30"/>
      <c r="F36" s="30"/>
      <c r="G36" s="30"/>
      <c r="H36" s="30"/>
      <c r="I36" s="30"/>
      <c r="J36" s="63"/>
      <c r="K36" s="32"/>
      <c r="L36" s="33"/>
    </row>
    <row r="37" spans="2:12" x14ac:dyDescent="0.2">
      <c r="B37" s="35" t="s">
        <v>27</v>
      </c>
      <c r="C37" s="95"/>
      <c r="D37" s="96"/>
      <c r="E37" s="97"/>
      <c r="F37" s="97"/>
      <c r="G37" s="97"/>
      <c r="H37" s="97"/>
      <c r="I37" s="97"/>
      <c r="J37" s="40">
        <f>J35*0.05</f>
        <v>48.77644545454546</v>
      </c>
      <c r="K37" s="42"/>
      <c r="L37" s="33"/>
    </row>
    <row r="38" spans="2:12" x14ac:dyDescent="0.2">
      <c r="B38" s="35" t="s">
        <v>28</v>
      </c>
      <c r="C38" s="95"/>
      <c r="D38" s="96"/>
      <c r="E38" s="97"/>
      <c r="F38" s="97"/>
      <c r="G38" s="97"/>
      <c r="H38" s="97"/>
      <c r="I38" s="97"/>
      <c r="J38" s="40">
        <f>P15</f>
        <v>210</v>
      </c>
      <c r="K38" s="42"/>
      <c r="L38" s="33"/>
    </row>
    <row r="39" spans="2:12" x14ac:dyDescent="0.2">
      <c r="B39" s="35" t="s">
        <v>29</v>
      </c>
      <c r="C39" s="95"/>
      <c r="D39" s="96"/>
      <c r="E39" s="97"/>
      <c r="F39" s="97"/>
      <c r="G39" s="97"/>
      <c r="H39" s="97"/>
      <c r="I39" s="97"/>
      <c r="J39" s="40">
        <f>((J35+J37+J38)*0.07)</f>
        <v>86.401374818181822</v>
      </c>
      <c r="K39" s="42"/>
      <c r="L39" s="33"/>
    </row>
    <row r="40" spans="2:12" x14ac:dyDescent="0.2">
      <c r="B40" s="105" t="s">
        <v>30</v>
      </c>
      <c r="C40" s="93"/>
      <c r="D40" s="106"/>
      <c r="E40" s="107"/>
      <c r="F40" s="107"/>
      <c r="G40" s="107"/>
      <c r="H40" s="107"/>
      <c r="I40" s="107"/>
      <c r="J40" s="108">
        <f>((J35+J37+J38)*0.03)</f>
        <v>37.029160636363635</v>
      </c>
      <c r="K40" s="83"/>
      <c r="L40" s="33"/>
    </row>
    <row r="41" spans="2:12" ht="13.5" thickBot="1" x14ac:dyDescent="0.25">
      <c r="B41" s="109" t="s">
        <v>14</v>
      </c>
      <c r="C41" s="103"/>
      <c r="D41" s="110"/>
      <c r="E41" s="111"/>
      <c r="F41" s="111"/>
      <c r="G41" s="111"/>
      <c r="H41" s="111"/>
      <c r="I41" s="111"/>
      <c r="J41" s="112">
        <f>SUM(J37:J40)</f>
        <v>382.20698090909093</v>
      </c>
      <c r="K41" s="113"/>
      <c r="L41" s="33"/>
    </row>
    <row r="42" spans="2:12" ht="13.5" thickBot="1" x14ac:dyDescent="0.25">
      <c r="B42" s="2" t="s">
        <v>31</v>
      </c>
      <c r="C42" s="104"/>
      <c r="D42" s="76"/>
      <c r="E42" s="54">
        <v>1.32</v>
      </c>
      <c r="F42" s="54">
        <v>0.81</v>
      </c>
      <c r="G42" s="75"/>
      <c r="H42" s="75"/>
      <c r="I42" s="75"/>
      <c r="J42" s="57">
        <f>(J35+J41)</f>
        <v>1357.7358899999999</v>
      </c>
      <c r="K42" s="58"/>
      <c r="L42" s="33"/>
    </row>
    <row r="43" spans="2:12" ht="13.5" thickBot="1" x14ac:dyDescent="0.25">
      <c r="B43" s="33"/>
      <c r="C43" s="33"/>
      <c r="D43" s="33"/>
      <c r="E43" s="114"/>
      <c r="F43" s="114"/>
      <c r="G43" s="33"/>
      <c r="H43" s="33"/>
      <c r="I43" s="33"/>
      <c r="J43" s="33"/>
      <c r="K43" s="33"/>
      <c r="L43" s="33"/>
    </row>
    <row r="44" spans="2:12" x14ac:dyDescent="0.2">
      <c r="B44" s="115" t="s">
        <v>32</v>
      </c>
      <c r="C44" s="116" t="s">
        <v>67</v>
      </c>
      <c r="D44" s="60"/>
      <c r="E44" s="117">
        <v>6500</v>
      </c>
      <c r="F44" s="60"/>
      <c r="G44" s="118"/>
      <c r="H44" s="118"/>
      <c r="I44" s="118"/>
      <c r="J44" s="118"/>
      <c r="K44" s="32"/>
      <c r="L44" s="33"/>
    </row>
    <row r="45" spans="2:12" x14ac:dyDescent="0.2">
      <c r="B45" s="35" t="s">
        <v>33</v>
      </c>
      <c r="C45" s="119" t="s">
        <v>68</v>
      </c>
      <c r="D45" s="119"/>
      <c r="E45" s="120">
        <v>75</v>
      </c>
      <c r="F45" s="121"/>
      <c r="G45" s="33" t="s">
        <v>110</v>
      </c>
      <c r="H45" s="33"/>
      <c r="I45" s="33"/>
      <c r="J45" s="33"/>
      <c r="K45" s="83"/>
      <c r="L45" s="33"/>
    </row>
    <row r="46" spans="2:12" x14ac:dyDescent="0.2">
      <c r="B46" s="35" t="s">
        <v>34</v>
      </c>
      <c r="C46" s="119" t="s">
        <v>68</v>
      </c>
      <c r="D46" s="119"/>
      <c r="E46" s="120">
        <f>(J42-E45)</f>
        <v>1282.7358899999999</v>
      </c>
      <c r="F46" s="121"/>
      <c r="G46" s="122"/>
      <c r="H46" s="122"/>
      <c r="I46" s="122"/>
      <c r="J46" s="122"/>
      <c r="K46" s="42"/>
      <c r="L46" s="33"/>
    </row>
    <row r="47" spans="2:12" x14ac:dyDescent="0.2">
      <c r="B47" s="35" t="s">
        <v>34</v>
      </c>
      <c r="C47" s="119" t="s">
        <v>35</v>
      </c>
      <c r="D47" s="119"/>
      <c r="E47" s="164">
        <f>(E46/E44)</f>
        <v>0.19734398307692305</v>
      </c>
      <c r="F47" s="121"/>
      <c r="G47" s="33"/>
      <c r="H47" s="33"/>
      <c r="I47" s="33"/>
      <c r="J47" s="33"/>
      <c r="K47" s="83"/>
      <c r="L47" s="33"/>
    </row>
    <row r="48" spans="2:12" ht="13.5" thickBot="1" x14ac:dyDescent="0.25">
      <c r="B48" s="109" t="s">
        <v>81</v>
      </c>
      <c r="C48" s="123" t="s">
        <v>35</v>
      </c>
      <c r="D48" s="123"/>
      <c r="E48" s="124">
        <f>E47*1.3</f>
        <v>0.25654717799999999</v>
      </c>
      <c r="F48" s="125"/>
      <c r="G48" s="99"/>
      <c r="H48" s="99"/>
      <c r="I48" s="99"/>
      <c r="J48" s="99"/>
      <c r="K48" s="126"/>
      <c r="L48" s="33"/>
    </row>
    <row r="49" spans="2:12" x14ac:dyDescent="0.2">
      <c r="B49" s="33"/>
      <c r="C49" s="24"/>
      <c r="D49" s="24"/>
      <c r="E49" s="127"/>
      <c r="F49" s="127"/>
      <c r="G49" s="33"/>
      <c r="H49" s="33"/>
      <c r="I49" s="33"/>
      <c r="J49" s="33"/>
      <c r="K49" s="33"/>
      <c r="L49" s="33"/>
    </row>
    <row r="50" spans="2:12" x14ac:dyDescent="0.2">
      <c r="B50" s="33"/>
      <c r="C50" s="24"/>
      <c r="D50" s="24"/>
      <c r="E50" s="127"/>
      <c r="F50" s="127"/>
      <c r="G50" s="33"/>
      <c r="H50" s="33"/>
      <c r="I50" s="33"/>
      <c r="J50" s="33"/>
      <c r="K50" s="33"/>
      <c r="L50" s="33"/>
    </row>
    <row r="51" spans="2:12" x14ac:dyDescent="0.2">
      <c r="B51" s="25" t="s">
        <v>82</v>
      </c>
      <c r="L51" s="33"/>
    </row>
    <row r="52" spans="2:12" x14ac:dyDescent="0.2">
      <c r="B52" s="25" t="s">
        <v>217</v>
      </c>
    </row>
    <row r="73" spans="9:10" x14ac:dyDescent="0.2">
      <c r="I73" s="343"/>
      <c r="J73" s="343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  <row r="79" spans="9:10" x14ac:dyDescent="0.2">
      <c r="I79" s="332"/>
      <c r="J79" s="332"/>
    </row>
  </sheetData>
  <customSheetViews>
    <customSheetView guid="{8B6B86C0-2F1B-11D5-9D92-00606708EF55}" scale="75" showRuler="0" topLeftCell="A17">
      <selection activeCell="A35" sqref="A35"/>
      <pageMargins left="0.74803149606299213" right="0.74803149606299213" top="0.19685039370078741" bottom="0.19685039370078741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8:J78"/>
    <mergeCell ref="B1:I1"/>
    <mergeCell ref="I79:J79"/>
    <mergeCell ref="I73:J73"/>
    <mergeCell ref="I74:J74"/>
    <mergeCell ref="I75:J75"/>
    <mergeCell ref="C3:D5"/>
    <mergeCell ref="E3:F3"/>
    <mergeCell ref="E4:F4"/>
    <mergeCell ref="I76:J76"/>
    <mergeCell ref="I77:J77"/>
  </mergeCells>
  <phoneticPr fontId="2" type="noConversion"/>
  <printOptions horizontalCentered="1" verticalCentered="1"/>
  <pageMargins left="0.74803149606299213" right="0.74803149606299213" top="0.19685039370078741" bottom="0.19685039370078741" header="0.51181102362204722" footer="0.51181102362204722"/>
  <pageSetup paperSize="9" scale="84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9"/>
  <sheetViews>
    <sheetView topLeftCell="A25" workbookViewId="0">
      <selection activeCell="N1" sqref="N1:Q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7" width="14.28515625" style="25" customWidth="1"/>
    <col min="8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10.28515625" style="25" customWidth="1"/>
    <col min="14" max="17" width="10.28515625" style="25" hidden="1" customWidth="1"/>
    <col min="18" max="21" width="10.28515625" style="25" customWidth="1"/>
    <col min="22" max="16384" width="9.140625" style="25"/>
  </cols>
  <sheetData>
    <row r="1" spans="2:16" s="19" customFormat="1" x14ac:dyDescent="0.2">
      <c r="B1" s="333" t="s">
        <v>237</v>
      </c>
      <c r="C1" s="333"/>
      <c r="D1" s="333"/>
      <c r="E1" s="333"/>
      <c r="F1" s="333"/>
      <c r="G1" s="333"/>
      <c r="H1" s="333"/>
      <c r="I1" s="333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111</v>
      </c>
      <c r="D7" s="37">
        <v>1</v>
      </c>
      <c r="E7" s="38">
        <v>0.28000000000000003</v>
      </c>
      <c r="F7" s="38">
        <v>0.28000000000000003</v>
      </c>
      <c r="G7" s="39">
        <v>1.7</v>
      </c>
      <c r="H7" s="36" t="s">
        <v>69</v>
      </c>
      <c r="I7" s="40">
        <f>P11</f>
        <v>4.5999999999999996</v>
      </c>
      <c r="J7" s="41">
        <f>(G7*I7)+(E7*P12)</f>
        <v>10.899999999999999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112</v>
      </c>
      <c r="D8" s="37"/>
      <c r="E8" s="38">
        <v>0.09</v>
      </c>
      <c r="F8" s="38">
        <v>0.09</v>
      </c>
      <c r="G8" s="39">
        <v>1</v>
      </c>
      <c r="H8" s="36" t="s">
        <v>69</v>
      </c>
      <c r="I8" s="40">
        <f>P11</f>
        <v>4.5999999999999996</v>
      </c>
      <c r="J8" s="41">
        <f>(I8*G8)+(P12*E8)</f>
        <v>5.59</v>
      </c>
      <c r="K8" s="42" t="s">
        <v>39</v>
      </c>
      <c r="L8" s="33"/>
      <c r="P8" s="34"/>
    </row>
    <row r="9" spans="2:16" x14ac:dyDescent="0.2">
      <c r="B9" s="35" t="s">
        <v>12</v>
      </c>
      <c r="C9" s="36" t="s">
        <v>112</v>
      </c>
      <c r="D9" s="37">
        <v>1</v>
      </c>
      <c r="E9" s="38">
        <v>0.09</v>
      </c>
      <c r="F9" s="38">
        <v>0.09</v>
      </c>
      <c r="G9" s="39">
        <v>0.7</v>
      </c>
      <c r="H9" s="36" t="s">
        <v>69</v>
      </c>
      <c r="I9" s="40">
        <f>P11</f>
        <v>4.5999999999999996</v>
      </c>
      <c r="J9" s="41">
        <f>(I9*G9)+(P12*E9)</f>
        <v>4.21</v>
      </c>
      <c r="K9" s="42" t="s">
        <v>38</v>
      </c>
      <c r="L9" s="33"/>
      <c r="P9" s="34"/>
    </row>
    <row r="10" spans="2:16" x14ac:dyDescent="0.2">
      <c r="B10" s="35" t="s">
        <v>13</v>
      </c>
      <c r="C10" s="36" t="s">
        <v>36</v>
      </c>
      <c r="D10" s="37">
        <v>1</v>
      </c>
      <c r="E10" s="38">
        <v>0.1</v>
      </c>
      <c r="F10" s="38">
        <v>0.1</v>
      </c>
      <c r="G10" s="39">
        <v>0.7</v>
      </c>
      <c r="H10" s="36" t="s">
        <v>69</v>
      </c>
      <c r="I10" s="40">
        <f>P11</f>
        <v>4.5999999999999996</v>
      </c>
      <c r="J10" s="41">
        <f>(I10*G10)+(P11*E10)</f>
        <v>3.6799999999999997</v>
      </c>
      <c r="K10" s="42" t="s">
        <v>167</v>
      </c>
      <c r="L10" s="33"/>
      <c r="P10" s="25" t="s">
        <v>222</v>
      </c>
    </row>
    <row r="11" spans="2:16" ht="13.5" thickBot="1" x14ac:dyDescent="0.25">
      <c r="B11" s="43" t="s">
        <v>13</v>
      </c>
      <c r="C11" s="44" t="s">
        <v>36</v>
      </c>
      <c r="D11" s="45"/>
      <c r="E11" s="46">
        <v>0.1</v>
      </c>
      <c r="F11" s="46"/>
      <c r="G11" s="47"/>
      <c r="H11" s="44" t="s">
        <v>44</v>
      </c>
      <c r="I11" s="48">
        <f>P12</f>
        <v>11</v>
      </c>
      <c r="J11" s="41">
        <f>P12*E11</f>
        <v>1.1000000000000001</v>
      </c>
      <c r="K11" s="49" t="s">
        <v>166</v>
      </c>
      <c r="L11" s="33"/>
      <c r="N11" s="25" t="s">
        <v>87</v>
      </c>
      <c r="P11" s="34">
        <v>4.5999999999999996</v>
      </c>
    </row>
    <row r="12" spans="2:16" ht="13.5" thickBot="1" x14ac:dyDescent="0.25">
      <c r="B12" s="50" t="s">
        <v>14</v>
      </c>
      <c r="C12" s="51"/>
      <c r="D12" s="52"/>
      <c r="E12" s="53">
        <f>SUM(E7:E11)</f>
        <v>0.65999999999999992</v>
      </c>
      <c r="F12" s="54">
        <f>SUM(F7:F11)</f>
        <v>0.55999999999999994</v>
      </c>
      <c r="G12" s="55"/>
      <c r="H12" s="52"/>
      <c r="I12" s="56"/>
      <c r="J12" s="57">
        <f>SUM(J7:J11)</f>
        <v>25.48</v>
      </c>
      <c r="K12" s="58"/>
      <c r="L12" s="33"/>
      <c r="N12" s="25" t="s">
        <v>177</v>
      </c>
      <c r="P12" s="34">
        <v>11</v>
      </c>
    </row>
    <row r="13" spans="2:16" x14ac:dyDescent="0.2">
      <c r="B13" s="3" t="s">
        <v>15</v>
      </c>
      <c r="C13" s="59"/>
      <c r="D13" s="60"/>
      <c r="E13" s="61"/>
      <c r="F13" s="61"/>
      <c r="G13" s="62"/>
      <c r="H13" s="59"/>
      <c r="I13" s="63"/>
      <c r="J13" s="63"/>
      <c r="K13" s="32"/>
      <c r="L13" s="33"/>
      <c r="N13" s="25" t="s">
        <v>62</v>
      </c>
      <c r="P13" s="34">
        <v>7.5</v>
      </c>
    </row>
    <row r="14" spans="2:16" x14ac:dyDescent="0.2">
      <c r="B14" s="64" t="s">
        <v>16</v>
      </c>
      <c r="C14" s="65" t="s">
        <v>113</v>
      </c>
      <c r="D14" s="66">
        <v>1</v>
      </c>
      <c r="E14" s="67">
        <v>0.09</v>
      </c>
      <c r="F14" s="67">
        <v>0.09</v>
      </c>
      <c r="G14" s="68">
        <v>0.3</v>
      </c>
      <c r="H14" s="65" t="s">
        <v>69</v>
      </c>
      <c r="I14" s="69">
        <f>P11</f>
        <v>4.5999999999999996</v>
      </c>
      <c r="J14" s="41">
        <f>(P12*E14)+(G14*I14)</f>
        <v>2.37</v>
      </c>
      <c r="K14" s="70" t="s">
        <v>42</v>
      </c>
      <c r="L14" s="33"/>
      <c r="N14" s="25" t="s">
        <v>21</v>
      </c>
      <c r="P14" s="34">
        <v>50</v>
      </c>
    </row>
    <row r="15" spans="2:16" x14ac:dyDescent="0.2">
      <c r="B15" s="35" t="s">
        <v>16</v>
      </c>
      <c r="C15" s="36" t="s">
        <v>113</v>
      </c>
      <c r="D15" s="37"/>
      <c r="E15" s="38">
        <v>0.09</v>
      </c>
      <c r="F15" s="38"/>
      <c r="G15" s="39"/>
      <c r="H15" s="36" t="s">
        <v>44</v>
      </c>
      <c r="I15" s="40">
        <f>P12</f>
        <v>11</v>
      </c>
      <c r="J15" s="40">
        <f>I15*E15</f>
        <v>0.99</v>
      </c>
      <c r="K15" s="42" t="s">
        <v>41</v>
      </c>
      <c r="L15" s="33"/>
      <c r="N15" s="25" t="s">
        <v>28</v>
      </c>
      <c r="P15" s="34">
        <v>180</v>
      </c>
    </row>
    <row r="16" spans="2:16" x14ac:dyDescent="0.2">
      <c r="B16" s="64" t="s">
        <v>17</v>
      </c>
      <c r="C16" s="65" t="s">
        <v>112</v>
      </c>
      <c r="D16" s="66">
        <v>1</v>
      </c>
      <c r="E16" s="67">
        <v>0.09</v>
      </c>
      <c r="F16" s="67">
        <v>0.09</v>
      </c>
      <c r="G16" s="68">
        <v>0.3</v>
      </c>
      <c r="H16" s="65" t="s">
        <v>69</v>
      </c>
      <c r="I16" s="69">
        <f>P11</f>
        <v>4.5999999999999996</v>
      </c>
      <c r="J16" s="41">
        <f>(P12*E16)+(G16*I16)</f>
        <v>2.37</v>
      </c>
      <c r="K16" s="70" t="s">
        <v>43</v>
      </c>
      <c r="L16" s="33"/>
      <c r="N16" s="25" t="s">
        <v>79</v>
      </c>
      <c r="O16" s="71"/>
      <c r="P16" s="34">
        <v>1.7</v>
      </c>
    </row>
    <row r="17" spans="2:26" ht="13.5" thickBot="1" x14ac:dyDescent="0.25">
      <c r="B17" s="35" t="s">
        <v>17</v>
      </c>
      <c r="C17" s="36" t="s">
        <v>112</v>
      </c>
      <c r="D17" s="37"/>
      <c r="E17" s="38">
        <v>0.09</v>
      </c>
      <c r="F17" s="72"/>
      <c r="G17" s="39"/>
      <c r="H17" s="36" t="s">
        <v>44</v>
      </c>
      <c r="I17" s="40">
        <f>P12</f>
        <v>11</v>
      </c>
      <c r="J17" s="41">
        <f>(I17*E17)</f>
        <v>0.99</v>
      </c>
      <c r="K17" s="73" t="s">
        <v>41</v>
      </c>
      <c r="L17" s="33"/>
      <c r="N17" s="25" t="s">
        <v>63</v>
      </c>
      <c r="P17" s="34">
        <v>15</v>
      </c>
      <c r="Q17" s="74"/>
    </row>
    <row r="18" spans="2:26" ht="13.5" thickBot="1" x14ac:dyDescent="0.25">
      <c r="B18" s="35" t="s">
        <v>98</v>
      </c>
      <c r="C18" s="36" t="s">
        <v>114</v>
      </c>
      <c r="D18" s="37"/>
      <c r="E18" s="38">
        <v>14</v>
      </c>
      <c r="F18" s="72"/>
      <c r="G18" s="77">
        <v>3</v>
      </c>
      <c r="H18" s="36" t="s">
        <v>44</v>
      </c>
      <c r="I18" s="40">
        <f>P18</f>
        <v>7.5</v>
      </c>
      <c r="J18" s="41">
        <f>I18*E18</f>
        <v>105</v>
      </c>
      <c r="K18" s="42"/>
      <c r="L18" s="33"/>
      <c r="N18" s="25" t="s">
        <v>178</v>
      </c>
      <c r="P18" s="25">
        <v>7.5</v>
      </c>
      <c r="Q18" s="74"/>
    </row>
    <row r="19" spans="2:26" ht="13.5" thickBot="1" x14ac:dyDescent="0.25">
      <c r="B19" s="35" t="s">
        <v>85</v>
      </c>
      <c r="C19" s="36" t="s">
        <v>51</v>
      </c>
      <c r="D19" s="37">
        <v>2</v>
      </c>
      <c r="E19" s="38">
        <v>0.75</v>
      </c>
      <c r="F19" s="72">
        <v>3</v>
      </c>
      <c r="G19" s="62">
        <v>3</v>
      </c>
      <c r="H19" s="36" t="s">
        <v>69</v>
      </c>
      <c r="I19" s="48">
        <f>P11</f>
        <v>4.5999999999999996</v>
      </c>
      <c r="J19" s="41">
        <f>I19*(F19*G19)+(E19*P12)</f>
        <v>49.65</v>
      </c>
      <c r="K19" s="42" t="s">
        <v>86</v>
      </c>
      <c r="N19" s="25" t="s">
        <v>65</v>
      </c>
      <c r="P19" s="142">
        <v>25</v>
      </c>
    </row>
    <row r="20" spans="2:26" ht="13.5" thickBot="1" x14ac:dyDescent="0.25">
      <c r="B20" s="50" t="s">
        <v>14</v>
      </c>
      <c r="C20" s="75"/>
      <c r="D20" s="76"/>
      <c r="E20" s="54">
        <f>SUM(E14:E19)</f>
        <v>15.11</v>
      </c>
      <c r="F20" s="54">
        <f>SUM(F14:F19)</f>
        <v>3.18</v>
      </c>
      <c r="G20" s="68"/>
      <c r="H20" s="51"/>
      <c r="I20" s="78"/>
      <c r="J20" s="57">
        <f>SUM(J14:J19)</f>
        <v>161.37</v>
      </c>
      <c r="K20" s="58"/>
      <c r="L20" s="33"/>
      <c r="N20" s="25" t="s">
        <v>95</v>
      </c>
      <c r="P20" s="34">
        <v>40</v>
      </c>
    </row>
    <row r="21" spans="2:26" x14ac:dyDescent="0.2">
      <c r="B21" s="3" t="s">
        <v>18</v>
      </c>
      <c r="C21" s="30"/>
      <c r="D21" s="31"/>
      <c r="E21" s="61"/>
      <c r="F21" s="61"/>
      <c r="G21" s="62"/>
      <c r="H21" s="59"/>
      <c r="I21" s="63"/>
      <c r="J21" s="63"/>
      <c r="K21" s="32"/>
      <c r="L21" s="33"/>
      <c r="N21" s="25" t="s">
        <v>96</v>
      </c>
      <c r="P21" s="34">
        <v>0.4</v>
      </c>
    </row>
    <row r="22" spans="2:26" x14ac:dyDescent="0.2">
      <c r="B22" s="64" t="s">
        <v>19</v>
      </c>
      <c r="C22" s="65" t="s">
        <v>51</v>
      </c>
      <c r="D22" s="66">
        <v>1</v>
      </c>
      <c r="E22" s="67">
        <v>0.12</v>
      </c>
      <c r="F22" s="67">
        <v>0.12</v>
      </c>
      <c r="G22" s="68"/>
      <c r="H22" s="65" t="s">
        <v>69</v>
      </c>
      <c r="I22" s="69">
        <f>P13</f>
        <v>7.5</v>
      </c>
      <c r="J22" s="41">
        <f>(I22*D22)</f>
        <v>7.5</v>
      </c>
      <c r="K22" s="70"/>
      <c r="L22" s="33"/>
      <c r="O22" s="71"/>
      <c r="Q22" s="71"/>
    </row>
    <row r="23" spans="2:26" x14ac:dyDescent="0.2">
      <c r="B23" s="64" t="s">
        <v>115</v>
      </c>
      <c r="C23" s="65" t="s">
        <v>51</v>
      </c>
      <c r="D23" s="79"/>
      <c r="E23" s="67">
        <v>0.12</v>
      </c>
      <c r="F23" s="67"/>
      <c r="G23" s="68"/>
      <c r="H23" s="65" t="s">
        <v>44</v>
      </c>
      <c r="I23" s="69">
        <f>P12</f>
        <v>11</v>
      </c>
      <c r="J23" s="40">
        <f>(I23*E23)</f>
        <v>1.3199999999999998</v>
      </c>
      <c r="K23" s="70" t="s">
        <v>116</v>
      </c>
      <c r="L23" s="33"/>
      <c r="O23" s="71"/>
      <c r="P23" s="33"/>
      <c r="Q23" s="24"/>
      <c r="R23" s="24"/>
      <c r="S23" s="84"/>
      <c r="T23" s="84"/>
      <c r="U23" s="33"/>
      <c r="V23" s="24"/>
      <c r="W23" s="85"/>
      <c r="X23" s="85"/>
      <c r="Y23" s="33"/>
      <c r="Z23" s="33"/>
    </row>
    <row r="24" spans="2:26" x14ac:dyDescent="0.2">
      <c r="B24" s="35" t="s">
        <v>21</v>
      </c>
      <c r="C24" s="36" t="s">
        <v>51</v>
      </c>
      <c r="D24" s="96"/>
      <c r="E24" s="38">
        <v>0.06</v>
      </c>
      <c r="F24" s="38">
        <v>0.06</v>
      </c>
      <c r="G24" s="39"/>
      <c r="H24" s="36" t="s">
        <v>45</v>
      </c>
      <c r="I24" s="40">
        <f>P14/2000</f>
        <v>2.5000000000000001E-2</v>
      </c>
      <c r="J24" s="40">
        <f>I24*E44</f>
        <v>9.375</v>
      </c>
      <c r="K24" s="42" t="s">
        <v>47</v>
      </c>
      <c r="L24" s="33"/>
      <c r="O24" s="71"/>
      <c r="Q24" s="71"/>
    </row>
    <row r="25" spans="2:26" ht="13.5" thickBot="1" x14ac:dyDescent="0.25">
      <c r="B25" s="105" t="s">
        <v>117</v>
      </c>
      <c r="C25" s="44" t="s">
        <v>118</v>
      </c>
      <c r="D25" s="106"/>
      <c r="E25" s="81">
        <v>0.12</v>
      </c>
      <c r="F25" s="81">
        <v>0.12</v>
      </c>
      <c r="G25" s="47"/>
      <c r="H25" s="24" t="s">
        <v>69</v>
      </c>
      <c r="I25" s="82"/>
      <c r="J25" s="108">
        <f>J8+J9</f>
        <v>9.8000000000000007</v>
      </c>
      <c r="K25" s="83" t="s">
        <v>119</v>
      </c>
      <c r="L25" s="33"/>
      <c r="O25" s="71"/>
      <c r="Q25" s="71"/>
    </row>
    <row r="26" spans="2:26" ht="13.5" thickBot="1" x14ac:dyDescent="0.25">
      <c r="B26" s="22" t="s">
        <v>14</v>
      </c>
      <c r="C26" s="75"/>
      <c r="D26" s="86"/>
      <c r="E26" s="87">
        <f>SUM(E22:E25)</f>
        <v>0.42</v>
      </c>
      <c r="F26" s="87">
        <f>SUM(F22:F24)</f>
        <v>0.18</v>
      </c>
      <c r="G26" s="75"/>
      <c r="H26" s="88"/>
      <c r="I26" s="89"/>
      <c r="J26" s="57">
        <f>SUM(J22:J25)</f>
        <v>27.995000000000001</v>
      </c>
      <c r="K26" s="90"/>
      <c r="L26" s="33"/>
      <c r="O26" s="92"/>
      <c r="Q26" s="71"/>
    </row>
    <row r="27" spans="2:26" x14ac:dyDescent="0.2">
      <c r="B27" s="3" t="s">
        <v>22</v>
      </c>
      <c r="C27" s="91"/>
      <c r="D27" s="31"/>
      <c r="E27" s="30"/>
      <c r="F27" s="30"/>
      <c r="G27" s="30"/>
      <c r="H27" s="59"/>
      <c r="I27" s="63"/>
      <c r="J27" s="63"/>
      <c r="K27" s="32"/>
      <c r="L27" s="33"/>
    </row>
    <row r="28" spans="2:26" x14ac:dyDescent="0.2">
      <c r="B28" s="64" t="s">
        <v>23</v>
      </c>
      <c r="C28" s="93"/>
      <c r="D28" s="79"/>
      <c r="E28" s="94"/>
      <c r="F28" s="94"/>
      <c r="G28" s="68">
        <f>P21</f>
        <v>0.4</v>
      </c>
      <c r="H28" s="65" t="s">
        <v>45</v>
      </c>
      <c r="I28" s="69">
        <f>P20</f>
        <v>40</v>
      </c>
      <c r="J28" s="41">
        <f>(I28*G28)</f>
        <v>16</v>
      </c>
      <c r="K28" s="70" t="s">
        <v>77</v>
      </c>
      <c r="L28" s="33"/>
    </row>
    <row r="29" spans="2:26" x14ac:dyDescent="0.2">
      <c r="B29" s="64" t="s">
        <v>74</v>
      </c>
      <c r="C29" s="93"/>
      <c r="D29" s="79"/>
      <c r="E29" s="94"/>
      <c r="F29" s="94"/>
      <c r="G29" s="68">
        <f>O30</f>
        <v>25</v>
      </c>
      <c r="H29" s="65" t="s">
        <v>45</v>
      </c>
      <c r="I29" s="69">
        <f>Q30</f>
        <v>1.25</v>
      </c>
      <c r="J29" s="41">
        <f>(I29*G29)</f>
        <v>31.25</v>
      </c>
      <c r="K29" s="70" t="s">
        <v>121</v>
      </c>
      <c r="L29" s="33"/>
      <c r="O29" s="71" t="s">
        <v>84</v>
      </c>
      <c r="P29" s="71" t="s">
        <v>8</v>
      </c>
      <c r="Q29" s="71" t="s">
        <v>64</v>
      </c>
    </row>
    <row r="30" spans="2:26" x14ac:dyDescent="0.2">
      <c r="B30" s="64" t="s">
        <v>75</v>
      </c>
      <c r="C30" s="93"/>
      <c r="D30" s="79"/>
      <c r="E30" s="94"/>
      <c r="F30" s="94"/>
      <c r="G30" s="68">
        <f>O31</f>
        <v>15</v>
      </c>
      <c r="H30" s="65" t="s">
        <v>45</v>
      </c>
      <c r="I30" s="69">
        <f>Q31</f>
        <v>1.05</v>
      </c>
      <c r="J30" s="41">
        <f>(I30*G30)</f>
        <v>15.75</v>
      </c>
      <c r="K30" s="70" t="s">
        <v>76</v>
      </c>
      <c r="L30" s="33"/>
      <c r="N30" s="166" t="s">
        <v>224</v>
      </c>
      <c r="O30" s="71">
        <v>25</v>
      </c>
      <c r="P30" s="34">
        <f>(Q30*O30)</f>
        <v>31.25</v>
      </c>
      <c r="Q30" s="74">
        <v>1.25</v>
      </c>
    </row>
    <row r="31" spans="2:26" x14ac:dyDescent="0.2">
      <c r="B31" s="64" t="s">
        <v>79</v>
      </c>
      <c r="C31" s="93"/>
      <c r="D31" s="66">
        <v>1</v>
      </c>
      <c r="E31" s="94"/>
      <c r="F31" s="94"/>
      <c r="G31" s="68"/>
      <c r="H31" s="65" t="s">
        <v>69</v>
      </c>
      <c r="I31" s="69">
        <f>P16</f>
        <v>1.7</v>
      </c>
      <c r="J31" s="41">
        <f>P16</f>
        <v>1.7</v>
      </c>
      <c r="K31" s="70" t="s">
        <v>80</v>
      </c>
      <c r="L31" s="33"/>
      <c r="N31" s="178" t="s">
        <v>78</v>
      </c>
      <c r="O31" s="71">
        <v>15</v>
      </c>
      <c r="P31" s="34">
        <f>(Q31*O31)</f>
        <v>15.75</v>
      </c>
      <c r="Q31" s="74">
        <v>1.05</v>
      </c>
    </row>
    <row r="32" spans="2:26" x14ac:dyDescent="0.2">
      <c r="B32" s="35" t="s">
        <v>24</v>
      </c>
      <c r="C32" s="95"/>
      <c r="D32" s="96"/>
      <c r="E32" s="97"/>
      <c r="F32" s="97"/>
      <c r="G32" s="97">
        <v>1</v>
      </c>
      <c r="H32" s="36" t="s">
        <v>45</v>
      </c>
      <c r="I32" s="40">
        <v>20</v>
      </c>
      <c r="J32" s="41">
        <f>(I32*G32)</f>
        <v>20</v>
      </c>
      <c r="K32" s="172" t="s">
        <v>225</v>
      </c>
      <c r="L32" s="33"/>
      <c r="Q32" s="74"/>
    </row>
    <row r="33" spans="2:12" ht="13.5" thickBot="1" x14ac:dyDescent="0.25">
      <c r="B33" s="98" t="s">
        <v>57</v>
      </c>
      <c r="C33" s="99"/>
      <c r="D33" s="158">
        <v>1</v>
      </c>
      <c r="E33" s="101"/>
      <c r="F33" s="101"/>
      <c r="G33" s="101"/>
      <c r="H33" s="102" t="s">
        <v>69</v>
      </c>
      <c r="I33" s="48">
        <f>P19</f>
        <v>25</v>
      </c>
      <c r="J33" s="82">
        <f>P19</f>
        <v>25</v>
      </c>
      <c r="K33" s="49" t="s">
        <v>88</v>
      </c>
      <c r="L33" s="33"/>
    </row>
    <row r="34" spans="2:12" ht="13.5" thickBot="1" x14ac:dyDescent="0.25">
      <c r="B34" s="50" t="s">
        <v>14</v>
      </c>
      <c r="C34" s="103"/>
      <c r="D34" s="76"/>
      <c r="E34" s="75"/>
      <c r="F34" s="75"/>
      <c r="G34" s="75"/>
      <c r="H34" s="75"/>
      <c r="I34" s="75"/>
      <c r="J34" s="57">
        <f>SUM(J28:J33)</f>
        <v>109.7</v>
      </c>
      <c r="K34" s="58"/>
      <c r="L34" s="33"/>
    </row>
    <row r="35" spans="2:12" ht="13.5" thickBot="1" x14ac:dyDescent="0.25">
      <c r="B35" s="50" t="s">
        <v>25</v>
      </c>
      <c r="C35" s="104"/>
      <c r="D35" s="76"/>
      <c r="E35" s="75"/>
      <c r="F35" s="75"/>
      <c r="G35" s="75"/>
      <c r="H35" s="75"/>
      <c r="I35" s="75"/>
      <c r="J35" s="57">
        <f>(J12+J20+J26+J34)</f>
        <v>324.54500000000002</v>
      </c>
      <c r="K35" s="58"/>
      <c r="L35" s="33"/>
    </row>
    <row r="36" spans="2:12" x14ac:dyDescent="0.2">
      <c r="B36" s="3" t="s">
        <v>26</v>
      </c>
      <c r="C36" s="91"/>
      <c r="D36" s="31"/>
      <c r="E36" s="30"/>
      <c r="F36" s="30"/>
      <c r="G36" s="30"/>
      <c r="H36" s="30"/>
      <c r="I36" s="30"/>
      <c r="J36" s="63"/>
      <c r="K36" s="32"/>
      <c r="L36" s="33"/>
    </row>
    <row r="37" spans="2:12" x14ac:dyDescent="0.2">
      <c r="B37" s="35" t="s">
        <v>27</v>
      </c>
      <c r="C37" s="95"/>
      <c r="D37" s="96"/>
      <c r="E37" s="97"/>
      <c r="F37" s="97"/>
      <c r="G37" s="97"/>
      <c r="H37" s="97"/>
      <c r="I37" s="97"/>
      <c r="J37" s="40">
        <f>J35*0.1</f>
        <v>32.454500000000003</v>
      </c>
      <c r="K37" s="42"/>
      <c r="L37" s="33"/>
    </row>
    <row r="38" spans="2:12" x14ac:dyDescent="0.2">
      <c r="B38" s="35" t="s">
        <v>28</v>
      </c>
      <c r="C38" s="95"/>
      <c r="D38" s="96"/>
      <c r="E38" s="97"/>
      <c r="F38" s="97"/>
      <c r="G38" s="97"/>
      <c r="H38" s="97"/>
      <c r="I38" s="97"/>
      <c r="J38" s="40">
        <f>P15</f>
        <v>180</v>
      </c>
      <c r="K38" s="42"/>
      <c r="L38" s="33"/>
    </row>
    <row r="39" spans="2:12" x14ac:dyDescent="0.2">
      <c r="B39" s="35" t="s">
        <v>29</v>
      </c>
      <c r="C39" s="95"/>
      <c r="D39" s="96"/>
      <c r="E39" s="97"/>
      <c r="F39" s="97"/>
      <c r="G39" s="97"/>
      <c r="H39" s="97"/>
      <c r="I39" s="97"/>
      <c r="J39" s="40">
        <f>((J35+J37+J38)*0.07)</f>
        <v>37.589965000000007</v>
      </c>
      <c r="K39" s="42"/>
      <c r="L39" s="33"/>
    </row>
    <row r="40" spans="2:12" x14ac:dyDescent="0.2">
      <c r="B40" s="105" t="s">
        <v>30</v>
      </c>
      <c r="C40" s="93"/>
      <c r="D40" s="106"/>
      <c r="E40" s="107"/>
      <c r="F40" s="107"/>
      <c r="G40" s="107"/>
      <c r="H40" s="107"/>
      <c r="I40" s="107"/>
      <c r="J40" s="108">
        <f>((J35+J37+J38)*0.03)</f>
        <v>16.109984999999998</v>
      </c>
      <c r="K40" s="83"/>
      <c r="L40" s="33"/>
    </row>
    <row r="41" spans="2:12" ht="13.5" thickBot="1" x14ac:dyDescent="0.25">
      <c r="B41" s="109" t="s">
        <v>14</v>
      </c>
      <c r="C41" s="103"/>
      <c r="D41" s="110"/>
      <c r="E41" s="111"/>
      <c r="F41" s="111"/>
      <c r="G41" s="111"/>
      <c r="H41" s="111"/>
      <c r="I41" s="111"/>
      <c r="J41" s="112">
        <f>SUM(J37:J40)</f>
        <v>266.15445</v>
      </c>
      <c r="K41" s="113"/>
      <c r="L41" s="33"/>
    </row>
    <row r="42" spans="2:12" ht="13.5" thickBot="1" x14ac:dyDescent="0.25">
      <c r="B42" s="2" t="s">
        <v>31</v>
      </c>
      <c r="C42" s="104"/>
      <c r="D42" s="76"/>
      <c r="E42" s="54">
        <v>1.32</v>
      </c>
      <c r="F42" s="54">
        <v>0.81</v>
      </c>
      <c r="G42" s="75"/>
      <c r="H42" s="75"/>
      <c r="I42" s="75"/>
      <c r="J42" s="57">
        <f>(J35+J41)</f>
        <v>590.69945000000007</v>
      </c>
      <c r="K42" s="58"/>
      <c r="L42" s="33"/>
    </row>
    <row r="43" spans="2:12" ht="13.5" thickBot="1" x14ac:dyDescent="0.25">
      <c r="B43" s="33"/>
      <c r="C43" s="33"/>
      <c r="D43" s="33"/>
      <c r="E43" s="114"/>
      <c r="F43" s="114"/>
      <c r="G43" s="33"/>
      <c r="H43" s="33"/>
      <c r="I43" s="33"/>
      <c r="J43" s="33"/>
      <c r="K43" s="33"/>
      <c r="L43" s="33"/>
    </row>
    <row r="44" spans="2:12" x14ac:dyDescent="0.2">
      <c r="B44" s="115" t="s">
        <v>32</v>
      </c>
      <c r="C44" s="116" t="s">
        <v>67</v>
      </c>
      <c r="D44" s="60"/>
      <c r="E44" s="117">
        <v>375</v>
      </c>
      <c r="F44" s="60"/>
      <c r="G44" s="118"/>
      <c r="H44" s="118"/>
      <c r="I44" s="118"/>
      <c r="J44" s="118"/>
      <c r="K44" s="32"/>
      <c r="L44" s="33"/>
    </row>
    <row r="45" spans="2:12" x14ac:dyDescent="0.2">
      <c r="B45" s="35" t="s">
        <v>33</v>
      </c>
      <c r="C45" s="119" t="s">
        <v>68</v>
      </c>
      <c r="D45" s="119"/>
      <c r="E45" s="120">
        <v>0</v>
      </c>
      <c r="F45" s="121"/>
      <c r="G45" s="33"/>
      <c r="H45" s="33"/>
      <c r="I45" s="33"/>
      <c r="J45" s="33"/>
      <c r="K45" s="83"/>
      <c r="L45" s="33"/>
    </row>
    <row r="46" spans="2:12" x14ac:dyDescent="0.2">
      <c r="B46" s="35" t="s">
        <v>34</v>
      </c>
      <c r="C46" s="119" t="s">
        <v>68</v>
      </c>
      <c r="D46" s="119"/>
      <c r="E46" s="120">
        <f>(J42-E45)</f>
        <v>590.69945000000007</v>
      </c>
      <c r="F46" s="121"/>
      <c r="G46" s="122"/>
      <c r="H46" s="122"/>
      <c r="I46" s="122"/>
      <c r="J46" s="122"/>
      <c r="K46" s="42"/>
      <c r="L46" s="33"/>
    </row>
    <row r="47" spans="2:12" x14ac:dyDescent="0.2">
      <c r="B47" s="35" t="s">
        <v>34</v>
      </c>
      <c r="C47" s="119" t="s">
        <v>35</v>
      </c>
      <c r="D47" s="119"/>
      <c r="E47" s="120">
        <f>(E46/E44)</f>
        <v>1.5751985333333336</v>
      </c>
      <c r="F47" s="121"/>
      <c r="G47" s="33"/>
      <c r="H47" s="33"/>
      <c r="I47" s="33"/>
      <c r="J47" s="33"/>
      <c r="K47" s="83"/>
      <c r="L47" s="33"/>
    </row>
    <row r="48" spans="2:12" ht="13.5" thickBot="1" x14ac:dyDescent="0.25">
      <c r="B48" s="109" t="s">
        <v>81</v>
      </c>
      <c r="C48" s="123" t="s">
        <v>35</v>
      </c>
      <c r="D48" s="123"/>
      <c r="E48" s="124">
        <f>E47*1.3</f>
        <v>2.0477580933333339</v>
      </c>
      <c r="F48" s="125"/>
      <c r="G48" s="99"/>
      <c r="H48" s="99"/>
      <c r="I48" s="99"/>
      <c r="J48" s="99"/>
      <c r="K48" s="126"/>
      <c r="L48" s="33"/>
    </row>
    <row r="49" spans="2:12" x14ac:dyDescent="0.2">
      <c r="B49" s="33"/>
      <c r="C49" s="24"/>
      <c r="D49" s="24"/>
      <c r="E49" s="127"/>
      <c r="F49" s="127"/>
      <c r="G49" s="33"/>
      <c r="H49" s="33"/>
      <c r="I49" s="33"/>
      <c r="J49" s="33"/>
      <c r="K49" s="33"/>
      <c r="L49" s="33"/>
    </row>
    <row r="50" spans="2:12" x14ac:dyDescent="0.2">
      <c r="B50" s="33"/>
      <c r="C50" s="24"/>
      <c r="D50" s="24"/>
      <c r="E50" s="127"/>
      <c r="F50" s="127"/>
      <c r="G50" s="33"/>
      <c r="H50" s="33"/>
      <c r="I50" s="33"/>
      <c r="J50" s="33"/>
      <c r="K50" s="33"/>
      <c r="L50" s="33"/>
    </row>
    <row r="51" spans="2:12" x14ac:dyDescent="0.2">
      <c r="B51" s="25" t="s">
        <v>82</v>
      </c>
      <c r="L51" s="33"/>
    </row>
    <row r="52" spans="2:12" x14ac:dyDescent="0.2">
      <c r="B52" s="25" t="s">
        <v>217</v>
      </c>
    </row>
    <row r="73" spans="9:10" x14ac:dyDescent="0.2">
      <c r="I73" s="343"/>
      <c r="J73" s="343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  <row r="78" spans="9:10" x14ac:dyDescent="0.2">
      <c r="I78" s="332"/>
      <c r="J78" s="332"/>
    </row>
    <row r="79" spans="9:10" x14ac:dyDescent="0.2">
      <c r="I79" s="332"/>
      <c r="J79" s="332"/>
    </row>
  </sheetData>
  <customSheetViews>
    <customSheetView guid="{8B6B86C0-2F1B-11D5-9D92-00606708EF55}" scale="75" showRuler="0" topLeftCell="A14">
      <selection activeCell="A33" sqref="A33"/>
      <pageMargins left="0.74803149606299213" right="0.74803149606299213" top="0.39370078740157483" bottom="0.39370078740157483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8:J78"/>
    <mergeCell ref="I79:J79"/>
    <mergeCell ref="I73:J73"/>
    <mergeCell ref="I74:J74"/>
    <mergeCell ref="I75:J75"/>
    <mergeCell ref="I76:J76"/>
    <mergeCell ref="B1:I1"/>
    <mergeCell ref="C3:D5"/>
    <mergeCell ref="E3:F3"/>
    <mergeCell ref="E4:F4"/>
    <mergeCell ref="I77:J77"/>
  </mergeCells>
  <phoneticPr fontId="2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82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7"/>
  <sheetViews>
    <sheetView topLeftCell="A13" workbookViewId="0">
      <selection activeCell="J18" sqref="J18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10.140625" style="25" customWidth="1"/>
    <col min="14" max="17" width="10.140625" style="25" hidden="1" customWidth="1"/>
    <col min="18" max="21" width="10.140625" style="25" customWidth="1"/>
    <col min="22" max="16384" width="9.140625" style="25"/>
  </cols>
  <sheetData>
    <row r="1" spans="2:16" s="19" customFormat="1" x14ac:dyDescent="0.2">
      <c r="B1" s="333" t="s">
        <v>238</v>
      </c>
      <c r="C1" s="334"/>
      <c r="D1" s="334"/>
      <c r="E1" s="334"/>
      <c r="F1" s="334"/>
      <c r="G1" s="334"/>
      <c r="H1" s="334"/>
      <c r="I1" s="334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122</v>
      </c>
      <c r="D7" s="37">
        <v>1</v>
      </c>
      <c r="E7" s="38">
        <v>0.55000000000000004</v>
      </c>
      <c r="F7" s="38">
        <v>0.55000000000000004</v>
      </c>
      <c r="G7" s="39">
        <v>1.7</v>
      </c>
      <c r="H7" s="36" t="s">
        <v>69</v>
      </c>
      <c r="I7" s="40">
        <f>P11</f>
        <v>4.5999999999999996</v>
      </c>
      <c r="J7" s="41">
        <f>(G7*I7)+(E7*P12)</f>
        <v>13.870000000000001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58</v>
      </c>
      <c r="D8" s="37"/>
      <c r="E8" s="38">
        <v>0.08</v>
      </c>
      <c r="F8" s="38">
        <v>0.08</v>
      </c>
      <c r="G8" s="39">
        <v>1</v>
      </c>
      <c r="H8" s="36" t="s">
        <v>69</v>
      </c>
      <c r="I8" s="40">
        <f>P11</f>
        <v>4.5999999999999996</v>
      </c>
      <c r="J8" s="41">
        <f>(I8*G8)+(P12*E8)</f>
        <v>5.4799999999999995</v>
      </c>
      <c r="K8" s="42" t="s">
        <v>39</v>
      </c>
      <c r="L8" s="33"/>
      <c r="P8" s="34"/>
    </row>
    <row r="9" spans="2:16" x14ac:dyDescent="0.2">
      <c r="B9" s="35" t="s">
        <v>13</v>
      </c>
      <c r="C9" s="36" t="s">
        <v>113</v>
      </c>
      <c r="D9" s="37">
        <v>1</v>
      </c>
      <c r="E9" s="38">
        <v>7.0000000000000007E-2</v>
      </c>
      <c r="F9" s="38">
        <v>7.0000000000000007E-2</v>
      </c>
      <c r="G9" s="39">
        <v>0.7</v>
      </c>
      <c r="H9" s="36" t="s">
        <v>69</v>
      </c>
      <c r="I9" s="40">
        <f>P11</f>
        <v>4.5999999999999996</v>
      </c>
      <c r="J9" s="41">
        <f>(I9*G9)</f>
        <v>3.2199999999999998</v>
      </c>
      <c r="K9" s="42" t="s">
        <v>40</v>
      </c>
      <c r="L9" s="33"/>
      <c r="P9" s="34"/>
    </row>
    <row r="10" spans="2:16" ht="13.5" thickBot="1" x14ac:dyDescent="0.25">
      <c r="B10" s="43" t="s">
        <v>13</v>
      </c>
      <c r="C10" s="44" t="s">
        <v>113</v>
      </c>
      <c r="D10" s="45"/>
      <c r="E10" s="46">
        <v>7.0000000000000007E-2</v>
      </c>
      <c r="F10" s="46"/>
      <c r="G10" s="39">
        <v>0.7</v>
      </c>
      <c r="H10" s="44" t="s">
        <v>44</v>
      </c>
      <c r="I10" s="48">
        <f>P12</f>
        <v>11</v>
      </c>
      <c r="J10" s="41">
        <f>P12*E10</f>
        <v>0.77</v>
      </c>
      <c r="K10" s="49" t="s">
        <v>41</v>
      </c>
      <c r="L10" s="33"/>
      <c r="P10" s="25" t="s">
        <v>222</v>
      </c>
    </row>
    <row r="11" spans="2:16" ht="13.5" thickBot="1" x14ac:dyDescent="0.25">
      <c r="B11" s="50" t="s">
        <v>14</v>
      </c>
      <c r="C11" s="51"/>
      <c r="D11" s="52"/>
      <c r="E11" s="53">
        <f>SUM(E7:E10)</f>
        <v>0.77</v>
      </c>
      <c r="F11" s="54">
        <f>SUM(F7:F10)</f>
        <v>0.7</v>
      </c>
      <c r="G11" s="47"/>
      <c r="H11" s="52"/>
      <c r="I11" s="56"/>
      <c r="J11" s="57">
        <f>SUM(J7:J10)</f>
        <v>23.34</v>
      </c>
      <c r="K11" s="58"/>
      <c r="L11" s="33"/>
      <c r="N11" s="25" t="s">
        <v>87</v>
      </c>
      <c r="P11" s="34">
        <v>4.5999999999999996</v>
      </c>
    </row>
    <row r="12" spans="2:16" ht="13.5" thickBot="1" x14ac:dyDescent="0.25">
      <c r="B12" s="3" t="s">
        <v>15</v>
      </c>
      <c r="C12" s="59"/>
      <c r="D12" s="60"/>
      <c r="E12" s="61"/>
      <c r="F12" s="61"/>
      <c r="G12" s="55"/>
      <c r="H12" s="59"/>
      <c r="I12" s="63"/>
      <c r="J12" s="63"/>
      <c r="K12" s="32"/>
      <c r="L12" s="33"/>
      <c r="N12" s="25" t="s">
        <v>177</v>
      </c>
      <c r="P12" s="34">
        <v>11</v>
      </c>
    </row>
    <row r="13" spans="2:16" x14ac:dyDescent="0.2">
      <c r="B13" s="64" t="s">
        <v>16</v>
      </c>
      <c r="C13" s="65" t="s">
        <v>58</v>
      </c>
      <c r="D13" s="66">
        <v>1</v>
      </c>
      <c r="E13" s="67">
        <v>0.09</v>
      </c>
      <c r="F13" s="67">
        <v>0.09</v>
      </c>
      <c r="G13" s="62"/>
      <c r="H13" s="65" t="s">
        <v>69</v>
      </c>
      <c r="I13" s="69">
        <f>P11</f>
        <v>4.5999999999999996</v>
      </c>
      <c r="J13" s="41">
        <f>(P12*E13)+(G13*I13)</f>
        <v>0.99</v>
      </c>
      <c r="K13" s="70" t="s">
        <v>42</v>
      </c>
      <c r="L13" s="33"/>
      <c r="N13" s="25" t="s">
        <v>178</v>
      </c>
      <c r="P13" s="34">
        <v>7.5</v>
      </c>
    </row>
    <row r="14" spans="2:16" x14ac:dyDescent="0.2">
      <c r="B14" s="35" t="s">
        <v>16</v>
      </c>
      <c r="C14" s="36" t="s">
        <v>58</v>
      </c>
      <c r="D14" s="37"/>
      <c r="E14" s="38">
        <v>0.09</v>
      </c>
      <c r="F14" s="38"/>
      <c r="G14" s="68">
        <v>0.3</v>
      </c>
      <c r="H14" s="36" t="s">
        <v>44</v>
      </c>
      <c r="I14" s="40">
        <f>P12</f>
        <v>11</v>
      </c>
      <c r="J14" s="40">
        <f>I14*E14</f>
        <v>0.99</v>
      </c>
      <c r="K14" s="42" t="s">
        <v>41</v>
      </c>
      <c r="L14" s="33"/>
      <c r="N14" s="25" t="s">
        <v>21</v>
      </c>
      <c r="P14" s="34">
        <v>30</v>
      </c>
    </row>
    <row r="15" spans="2:16" x14ac:dyDescent="0.2">
      <c r="B15" s="64" t="s">
        <v>17</v>
      </c>
      <c r="C15" s="65" t="s">
        <v>113</v>
      </c>
      <c r="D15" s="66">
        <v>1</v>
      </c>
      <c r="E15" s="67">
        <v>0.09</v>
      </c>
      <c r="F15" s="67">
        <v>0.09</v>
      </c>
      <c r="G15" s="39"/>
      <c r="H15" s="65" t="s">
        <v>69</v>
      </c>
      <c r="I15" s="69">
        <f>P11</f>
        <v>4.5999999999999996</v>
      </c>
      <c r="J15" s="41">
        <f>(G15*I15)</f>
        <v>0</v>
      </c>
      <c r="K15" s="70" t="s">
        <v>43</v>
      </c>
      <c r="L15" s="33"/>
      <c r="N15" s="25" t="s">
        <v>28</v>
      </c>
      <c r="P15" s="34">
        <v>45</v>
      </c>
    </row>
    <row r="16" spans="2:16" ht="13.5" thickBot="1" x14ac:dyDescent="0.25">
      <c r="B16" s="35" t="s">
        <v>17</v>
      </c>
      <c r="C16" s="36" t="s">
        <v>113</v>
      </c>
      <c r="D16" s="37"/>
      <c r="E16" s="38">
        <v>0.09</v>
      </c>
      <c r="F16" s="72"/>
      <c r="G16" s="68">
        <v>0.3</v>
      </c>
      <c r="H16" s="36" t="s">
        <v>44</v>
      </c>
      <c r="I16" s="40">
        <f>P12</f>
        <v>11</v>
      </c>
      <c r="J16" s="41">
        <f>(I16*E16)</f>
        <v>0.99</v>
      </c>
      <c r="K16" s="73" t="s">
        <v>41</v>
      </c>
      <c r="L16" s="33"/>
      <c r="N16" s="25" t="s">
        <v>79</v>
      </c>
      <c r="O16" s="71"/>
      <c r="P16" s="34">
        <v>1.5</v>
      </c>
    </row>
    <row r="17" spans="2:26" ht="13.5" thickBot="1" x14ac:dyDescent="0.25">
      <c r="B17" s="50" t="s">
        <v>14</v>
      </c>
      <c r="C17" s="75"/>
      <c r="D17" s="76"/>
      <c r="E17" s="54">
        <f>SUM(E13:E16)</f>
        <v>0.36</v>
      </c>
      <c r="F17" s="54">
        <f>SUM(F13:F16)</f>
        <v>0.18</v>
      </c>
      <c r="G17" s="39"/>
      <c r="H17" s="51"/>
      <c r="I17" s="78"/>
      <c r="J17" s="57">
        <f>SUM(J13:J16)</f>
        <v>2.9699999999999998</v>
      </c>
      <c r="K17" s="58"/>
      <c r="L17" s="33"/>
      <c r="N17" s="25" t="s">
        <v>63</v>
      </c>
      <c r="P17" s="34">
        <v>18</v>
      </c>
      <c r="Q17" s="74"/>
    </row>
    <row r="18" spans="2:26" ht="13.5" thickBot="1" x14ac:dyDescent="0.25">
      <c r="B18" s="3" t="s">
        <v>18</v>
      </c>
      <c r="C18" s="30"/>
      <c r="D18" s="31"/>
      <c r="E18" s="61"/>
      <c r="F18" s="61"/>
      <c r="G18" s="77"/>
      <c r="H18" s="59"/>
      <c r="I18" s="63"/>
      <c r="J18" s="63"/>
      <c r="K18" s="32"/>
      <c r="N18" s="25" t="s">
        <v>95</v>
      </c>
      <c r="P18" s="25">
        <v>10</v>
      </c>
    </row>
    <row r="19" spans="2:26" x14ac:dyDescent="0.2">
      <c r="B19" s="64" t="s">
        <v>19</v>
      </c>
      <c r="C19" s="65" t="s">
        <v>123</v>
      </c>
      <c r="D19" s="66">
        <v>1</v>
      </c>
      <c r="E19" s="67">
        <v>10</v>
      </c>
      <c r="F19" s="67"/>
      <c r="G19" s="62"/>
      <c r="H19" s="65" t="s">
        <v>44</v>
      </c>
      <c r="I19" s="69">
        <f>P13</f>
        <v>7.5</v>
      </c>
      <c r="J19" s="41">
        <f>I19*E19</f>
        <v>75</v>
      </c>
      <c r="K19" s="70" t="s">
        <v>125</v>
      </c>
      <c r="L19" s="33"/>
      <c r="N19" s="25" t="s">
        <v>96</v>
      </c>
      <c r="P19" s="142">
        <v>10</v>
      </c>
    </row>
    <row r="20" spans="2:26" x14ac:dyDescent="0.2">
      <c r="B20" s="64" t="s">
        <v>124</v>
      </c>
      <c r="C20" s="65" t="s">
        <v>123</v>
      </c>
      <c r="D20" s="79"/>
      <c r="E20" s="67">
        <v>0.2</v>
      </c>
      <c r="F20" s="67">
        <v>0.6</v>
      </c>
      <c r="G20" s="68"/>
      <c r="H20" s="65" t="s">
        <v>44</v>
      </c>
      <c r="I20" s="69">
        <v>3</v>
      </c>
      <c r="J20" s="40">
        <f>(I20*F20)+(P12*E20)</f>
        <v>4</v>
      </c>
      <c r="K20" s="70" t="s">
        <v>126</v>
      </c>
      <c r="L20" s="33"/>
      <c r="P20" s="179" t="s">
        <v>66</v>
      </c>
    </row>
    <row r="21" spans="2:26" ht="13.5" thickBot="1" x14ac:dyDescent="0.25">
      <c r="B21" s="43" t="s">
        <v>21</v>
      </c>
      <c r="C21" s="44" t="s">
        <v>123</v>
      </c>
      <c r="D21" s="80"/>
      <c r="E21" s="81">
        <v>0.05</v>
      </c>
      <c r="F21" s="81">
        <v>0.05</v>
      </c>
      <c r="G21" s="68"/>
      <c r="H21" s="44" t="s">
        <v>45</v>
      </c>
      <c r="I21" s="82">
        <f>P14/2000</f>
        <v>1.4999999999999999E-2</v>
      </c>
      <c r="J21" s="40">
        <f>I21*E39</f>
        <v>1.5</v>
      </c>
      <c r="K21" s="83" t="s">
        <v>47</v>
      </c>
      <c r="L21" s="33"/>
      <c r="O21" s="71"/>
      <c r="P21" s="179" t="s">
        <v>66</v>
      </c>
      <c r="Q21" s="71"/>
    </row>
    <row r="22" spans="2:26" ht="13.5" thickBot="1" x14ac:dyDescent="0.25">
      <c r="B22" s="22" t="s">
        <v>14</v>
      </c>
      <c r="C22" s="75"/>
      <c r="D22" s="86"/>
      <c r="E22" s="87">
        <f>SUM(E19:E21)</f>
        <v>10.25</v>
      </c>
      <c r="F22" s="87">
        <f>SUM(F19:F21)</f>
        <v>0.65</v>
      </c>
      <c r="G22" s="47"/>
      <c r="H22" s="88"/>
      <c r="I22" s="89"/>
      <c r="J22" s="57">
        <f>SUM(J19:J21)</f>
        <v>80.5</v>
      </c>
      <c r="K22" s="90"/>
      <c r="L22" s="33"/>
      <c r="O22" s="71"/>
      <c r="P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ht="13.5" thickBot="1" x14ac:dyDescent="0.25">
      <c r="B23" s="3" t="s">
        <v>22</v>
      </c>
      <c r="C23" s="91"/>
      <c r="D23" s="30"/>
      <c r="E23" s="30"/>
      <c r="F23" s="30"/>
      <c r="G23" s="75"/>
      <c r="H23" s="59"/>
      <c r="I23" s="63"/>
      <c r="J23" s="63"/>
      <c r="K23" s="32"/>
      <c r="L23" s="33"/>
      <c r="O23" s="71"/>
      <c r="Q23" s="71"/>
    </row>
    <row r="24" spans="2:26" x14ac:dyDescent="0.2">
      <c r="B24" s="64" t="s">
        <v>23</v>
      </c>
      <c r="C24" s="93"/>
      <c r="D24" s="94"/>
      <c r="E24" s="94"/>
      <c r="F24" s="94"/>
      <c r="G24" s="68">
        <f>P19</f>
        <v>10</v>
      </c>
      <c r="H24" s="65" t="s">
        <v>45</v>
      </c>
      <c r="I24" s="69">
        <f>P18</f>
        <v>10</v>
      </c>
      <c r="J24" s="41">
        <f>(I24*G24)</f>
        <v>100</v>
      </c>
      <c r="K24" s="70" t="s">
        <v>77</v>
      </c>
      <c r="L24" s="33"/>
      <c r="O24" s="92"/>
      <c r="Q24" s="71"/>
    </row>
    <row r="25" spans="2:26" x14ac:dyDescent="0.2">
      <c r="B25" s="64" t="s">
        <v>74</v>
      </c>
      <c r="C25" s="93"/>
      <c r="D25" s="94"/>
      <c r="E25" s="94"/>
      <c r="F25" s="94"/>
      <c r="G25" s="68">
        <v>15</v>
      </c>
      <c r="H25" s="65" t="s">
        <v>45</v>
      </c>
      <c r="I25" s="69">
        <f>Q28</f>
        <v>1.45</v>
      </c>
      <c r="J25" s="41">
        <f>(I25*G25)</f>
        <v>21.75</v>
      </c>
      <c r="K25" s="70" t="s">
        <v>48</v>
      </c>
      <c r="L25" s="33"/>
    </row>
    <row r="26" spans="2:26" x14ac:dyDescent="0.2">
      <c r="B26" s="64" t="s">
        <v>75</v>
      </c>
      <c r="C26" s="93"/>
      <c r="D26" s="94"/>
      <c r="E26" s="94"/>
      <c r="F26" s="94"/>
      <c r="G26" s="68">
        <v>0</v>
      </c>
      <c r="H26" s="65" t="s">
        <v>45</v>
      </c>
      <c r="I26" s="69">
        <f>Q29</f>
        <v>0</v>
      </c>
      <c r="J26" s="41">
        <f>(I26*G26)</f>
        <v>0</v>
      </c>
      <c r="K26" s="70"/>
      <c r="L26" s="33"/>
    </row>
    <row r="27" spans="2:26" x14ac:dyDescent="0.2">
      <c r="B27" s="64" t="s">
        <v>79</v>
      </c>
      <c r="C27" s="93"/>
      <c r="D27" s="65">
        <v>1</v>
      </c>
      <c r="E27" s="94"/>
      <c r="F27" s="94"/>
      <c r="G27" s="68"/>
      <c r="H27" s="65" t="s">
        <v>69</v>
      </c>
      <c r="I27" s="69">
        <f>P16</f>
        <v>1.5</v>
      </c>
      <c r="J27" s="41">
        <f>I27*D27</f>
        <v>1.5</v>
      </c>
      <c r="K27" s="70" t="s">
        <v>80</v>
      </c>
      <c r="L27" s="33"/>
      <c r="O27" s="71" t="s">
        <v>84</v>
      </c>
      <c r="P27" s="71" t="s">
        <v>8</v>
      </c>
      <c r="Q27" s="71" t="s">
        <v>64</v>
      </c>
    </row>
    <row r="28" spans="2:26" ht="13.5" thickBot="1" x14ac:dyDescent="0.25">
      <c r="B28" s="35" t="s">
        <v>24</v>
      </c>
      <c r="C28" s="101"/>
      <c r="D28" s="97"/>
      <c r="E28" s="97"/>
      <c r="F28" s="97"/>
      <c r="G28" s="97">
        <v>1</v>
      </c>
      <c r="H28" s="36" t="s">
        <v>45</v>
      </c>
      <c r="I28" s="40">
        <f>P17</f>
        <v>18</v>
      </c>
      <c r="J28" s="41">
        <f>(I28*G28)</f>
        <v>18</v>
      </c>
      <c r="K28" s="42" t="s">
        <v>218</v>
      </c>
      <c r="L28" s="33"/>
      <c r="N28" s="33" t="s">
        <v>48</v>
      </c>
      <c r="O28" s="71">
        <v>15</v>
      </c>
      <c r="P28" s="34">
        <f>(Q28*O28)</f>
        <v>21.75</v>
      </c>
      <c r="Q28" s="74">
        <v>1.45</v>
      </c>
    </row>
    <row r="29" spans="2:26" ht="13.5" thickBot="1" x14ac:dyDescent="0.25">
      <c r="B29" s="50" t="s">
        <v>14</v>
      </c>
      <c r="C29" s="103"/>
      <c r="D29" s="76"/>
      <c r="E29" s="75"/>
      <c r="F29" s="75"/>
      <c r="G29" s="75"/>
      <c r="H29" s="75"/>
      <c r="I29" s="75"/>
      <c r="J29" s="57">
        <f>SUM(J24:J28)</f>
        <v>141.25</v>
      </c>
      <c r="K29" s="58"/>
      <c r="L29" s="33"/>
      <c r="O29" s="71">
        <v>0</v>
      </c>
      <c r="P29" s="34">
        <f>(Q29*O29)</f>
        <v>0</v>
      </c>
      <c r="Q29" s="74">
        <v>0</v>
      </c>
    </row>
    <row r="30" spans="2:26" ht="13.5" thickBot="1" x14ac:dyDescent="0.25">
      <c r="B30" s="50" t="s">
        <v>25</v>
      </c>
      <c r="C30" s="104"/>
      <c r="D30" s="76"/>
      <c r="E30" s="75"/>
      <c r="F30" s="75"/>
      <c r="G30" s="75"/>
      <c r="H30" s="75"/>
      <c r="I30" s="75"/>
      <c r="J30" s="57">
        <f>(J11+J17+J22+J29)</f>
        <v>248.06</v>
      </c>
      <c r="K30" s="58"/>
      <c r="L30" s="33"/>
      <c r="Q30" s="74"/>
    </row>
    <row r="31" spans="2:26" x14ac:dyDescent="0.2">
      <c r="B31" s="3" t="s">
        <v>26</v>
      </c>
      <c r="C31" s="91"/>
      <c r="D31" s="31"/>
      <c r="E31" s="30"/>
      <c r="F31" s="30"/>
      <c r="G31" s="30"/>
      <c r="H31" s="30"/>
      <c r="I31" s="30"/>
      <c r="J31" s="63"/>
      <c r="K31" s="32"/>
      <c r="L31" s="33"/>
    </row>
    <row r="32" spans="2:26" x14ac:dyDescent="0.2">
      <c r="B32" s="35" t="s">
        <v>27</v>
      </c>
      <c r="C32" s="95"/>
      <c r="D32" s="96"/>
      <c r="E32" s="97"/>
      <c r="F32" s="97"/>
      <c r="G32" s="97"/>
      <c r="H32" s="97"/>
      <c r="I32" s="97"/>
      <c r="J32" s="40">
        <f>J30*0.1</f>
        <v>24.806000000000001</v>
      </c>
      <c r="K32" s="42"/>
      <c r="L32" s="33"/>
    </row>
    <row r="33" spans="2:16" x14ac:dyDescent="0.2">
      <c r="B33" s="35" t="s">
        <v>28</v>
      </c>
      <c r="C33" s="95"/>
      <c r="D33" s="96"/>
      <c r="E33" s="97"/>
      <c r="F33" s="97"/>
      <c r="G33" s="97"/>
      <c r="H33" s="97"/>
      <c r="I33" s="97"/>
      <c r="J33" s="40">
        <f>P15</f>
        <v>45</v>
      </c>
      <c r="K33" s="42"/>
      <c r="L33" s="33"/>
    </row>
    <row r="34" spans="2:16" x14ac:dyDescent="0.2">
      <c r="B34" s="35" t="s">
        <v>29</v>
      </c>
      <c r="C34" s="95"/>
      <c r="D34" s="96"/>
      <c r="E34" s="97"/>
      <c r="F34" s="97"/>
      <c r="G34" s="97"/>
      <c r="H34" s="97"/>
      <c r="I34" s="97"/>
      <c r="J34" s="40">
        <f>((J30+J32+J33)*0.07)</f>
        <v>22.250620000000001</v>
      </c>
      <c r="K34" s="42"/>
      <c r="L34" s="33"/>
    </row>
    <row r="35" spans="2:16" x14ac:dyDescent="0.2">
      <c r="B35" s="105" t="s">
        <v>30</v>
      </c>
      <c r="C35" s="93"/>
      <c r="D35" s="106"/>
      <c r="E35" s="107"/>
      <c r="F35" s="107"/>
      <c r="G35" s="107"/>
      <c r="H35" s="107"/>
      <c r="I35" s="107"/>
      <c r="J35" s="108">
        <f>((J30+J32+J33)*0.03)</f>
        <v>9.5359799999999986</v>
      </c>
      <c r="K35" s="83"/>
      <c r="L35" s="33"/>
    </row>
    <row r="36" spans="2:16" ht="13.5" thickBot="1" x14ac:dyDescent="0.25">
      <c r="B36" s="109" t="s">
        <v>14</v>
      </c>
      <c r="C36" s="103"/>
      <c r="D36" s="110"/>
      <c r="E36" s="111"/>
      <c r="F36" s="111"/>
      <c r="G36" s="111"/>
      <c r="H36" s="111"/>
      <c r="I36" s="111"/>
      <c r="J36" s="112">
        <f>SUM(J32:J35)</f>
        <v>101.59259999999999</v>
      </c>
      <c r="K36" s="113"/>
      <c r="L36" s="33"/>
    </row>
    <row r="37" spans="2:16" ht="13.5" thickBot="1" x14ac:dyDescent="0.25">
      <c r="B37" s="2" t="s">
        <v>31</v>
      </c>
      <c r="C37" s="104"/>
      <c r="D37" s="76"/>
      <c r="E37" s="54"/>
      <c r="F37" s="54"/>
      <c r="G37" s="75"/>
      <c r="H37" s="75"/>
      <c r="I37" s="75"/>
      <c r="J37" s="57">
        <f>(J30+J36)</f>
        <v>349.65260000000001</v>
      </c>
      <c r="K37" s="58"/>
      <c r="L37" s="33"/>
      <c r="P37" s="25" t="s">
        <v>66</v>
      </c>
    </row>
    <row r="38" spans="2:16" ht="13.5" thickBot="1" x14ac:dyDescent="0.25">
      <c r="B38" s="33"/>
      <c r="C38" s="33"/>
      <c r="D38" s="33"/>
      <c r="E38" s="114"/>
      <c r="F38" s="114"/>
      <c r="G38" s="33"/>
      <c r="H38" s="33"/>
      <c r="I38" s="33"/>
      <c r="J38" s="33"/>
      <c r="K38" s="33"/>
      <c r="L38" s="33"/>
    </row>
    <row r="39" spans="2:16" x14ac:dyDescent="0.2">
      <c r="B39" s="115" t="s">
        <v>32</v>
      </c>
      <c r="C39" s="116" t="s">
        <v>67</v>
      </c>
      <c r="D39" s="60"/>
      <c r="E39" s="117">
        <v>100</v>
      </c>
      <c r="F39" s="60"/>
      <c r="G39" s="118"/>
      <c r="H39" s="118"/>
      <c r="I39" s="118"/>
      <c r="J39" s="118"/>
      <c r="K39" s="32"/>
      <c r="L39" s="33"/>
    </row>
    <row r="40" spans="2:16" x14ac:dyDescent="0.2">
      <c r="B40" s="35" t="s">
        <v>33</v>
      </c>
      <c r="C40" s="119" t="s">
        <v>68</v>
      </c>
      <c r="D40" s="119"/>
      <c r="E40" s="120">
        <v>0</v>
      </c>
      <c r="F40" s="121"/>
      <c r="G40" s="33"/>
      <c r="H40" s="33"/>
      <c r="I40" s="33"/>
      <c r="J40" s="33"/>
      <c r="K40" s="83"/>
      <c r="L40" s="33"/>
    </row>
    <row r="41" spans="2:16" x14ac:dyDescent="0.2">
      <c r="B41" s="35" t="s">
        <v>34</v>
      </c>
      <c r="C41" s="119" t="s">
        <v>68</v>
      </c>
      <c r="D41" s="119"/>
      <c r="E41" s="120">
        <f>(J37-E40)</f>
        <v>349.65260000000001</v>
      </c>
      <c r="F41" s="121"/>
      <c r="G41" s="122"/>
      <c r="H41" s="122"/>
      <c r="I41" s="122"/>
      <c r="J41" s="122"/>
      <c r="K41" s="42"/>
      <c r="L41" s="33"/>
    </row>
    <row r="42" spans="2:16" x14ac:dyDescent="0.2">
      <c r="B42" s="35" t="s">
        <v>34</v>
      </c>
      <c r="C42" s="119" t="s">
        <v>35</v>
      </c>
      <c r="D42" s="119"/>
      <c r="E42" s="120">
        <f>(E41/E39)</f>
        <v>3.4965260000000002</v>
      </c>
      <c r="F42" s="121"/>
      <c r="G42" s="33"/>
      <c r="H42" s="33"/>
      <c r="I42" s="33"/>
      <c r="J42" s="33"/>
      <c r="K42" s="83"/>
      <c r="L42" s="33"/>
    </row>
    <row r="43" spans="2:16" ht="13.5" thickBot="1" x14ac:dyDescent="0.25">
      <c r="B43" s="109" t="s">
        <v>81</v>
      </c>
      <c r="C43" s="123" t="s">
        <v>35</v>
      </c>
      <c r="D43" s="123"/>
      <c r="E43" s="124">
        <f>E42*1.3</f>
        <v>4.5454838000000004</v>
      </c>
      <c r="F43" s="125"/>
      <c r="G43" s="99"/>
      <c r="H43" s="99"/>
      <c r="I43" s="99"/>
      <c r="J43" s="99"/>
      <c r="K43" s="126"/>
      <c r="L43" s="33"/>
    </row>
    <row r="44" spans="2:16" x14ac:dyDescent="0.2">
      <c r="L44" s="33"/>
    </row>
    <row r="45" spans="2:16" x14ac:dyDescent="0.2">
      <c r="B45" s="33"/>
      <c r="C45" s="24"/>
      <c r="D45" s="24"/>
      <c r="E45" s="127"/>
      <c r="F45" s="127"/>
      <c r="G45" s="33"/>
      <c r="H45" s="33"/>
      <c r="I45" s="33"/>
      <c r="J45" s="33"/>
      <c r="K45" s="33"/>
      <c r="L45" s="33"/>
    </row>
    <row r="46" spans="2:16" x14ac:dyDescent="0.2">
      <c r="B46" s="25" t="s">
        <v>82</v>
      </c>
      <c r="C46" s="24"/>
      <c r="D46" s="24"/>
      <c r="E46" s="127"/>
      <c r="F46" s="127"/>
      <c r="G46" s="33"/>
      <c r="H46" s="33"/>
      <c r="I46" s="33"/>
      <c r="J46" s="33"/>
      <c r="K46" s="33"/>
      <c r="L46" s="33"/>
    </row>
    <row r="47" spans="2:16" x14ac:dyDescent="0.2">
      <c r="B47" s="25" t="s">
        <v>217</v>
      </c>
      <c r="L47" s="33"/>
    </row>
    <row r="48" spans="2:16" x14ac:dyDescent="0.2">
      <c r="L48" s="33"/>
    </row>
    <row r="49" spans="12:12" x14ac:dyDescent="0.2">
      <c r="L49" s="33"/>
    </row>
    <row r="71" spans="9:10" x14ac:dyDescent="0.2">
      <c r="I71" s="343"/>
      <c r="J71" s="343"/>
    </row>
    <row r="72" spans="9:10" x14ac:dyDescent="0.2">
      <c r="I72" s="332"/>
      <c r="J72" s="332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</sheetData>
  <customSheetViews>
    <customSheetView guid="{8B6B86C0-2F1B-11D5-9D92-00606708EF55}" scale="75" showRuler="0" topLeftCell="A10">
      <selection activeCell="A28" sqref="A28"/>
      <pageMargins left="0.74803149606299213" right="0.74803149606299213" top="0.59055118110236227" bottom="0.59055118110236227" header="0.51181102362204722" footer="0.51181102362204722"/>
      <printOptions horizontalCentered="1" verticalCentered="1"/>
      <pageSetup paperSize="9" scale="95" orientation="landscape" r:id="rId1"/>
      <headerFooter alignWithMargins="0"/>
    </customSheetView>
  </customSheetViews>
  <mergeCells count="11">
    <mergeCell ref="I76:J76"/>
    <mergeCell ref="B1:I1"/>
    <mergeCell ref="I77:J77"/>
    <mergeCell ref="I71:J71"/>
    <mergeCell ref="I72:J72"/>
    <mergeCell ref="I73:J73"/>
    <mergeCell ref="C3:D5"/>
    <mergeCell ref="E3:F3"/>
    <mergeCell ref="E4:F4"/>
    <mergeCell ref="I74:J7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5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7"/>
  <sheetViews>
    <sheetView topLeftCell="A22" workbookViewId="0">
      <selection activeCell="N1" sqref="N1:P1048576"/>
    </sheetView>
  </sheetViews>
  <sheetFormatPr defaultRowHeight="12.75" x14ac:dyDescent="0.2"/>
  <cols>
    <col min="1" max="1" width="2.7109375" style="25" customWidth="1"/>
    <col min="2" max="2" width="25.85546875" style="25" customWidth="1"/>
    <col min="3" max="3" width="12.28515625" style="25" customWidth="1"/>
    <col min="4" max="4" width="4.85546875" style="25" customWidth="1"/>
    <col min="5" max="5" width="9.140625" style="25"/>
    <col min="6" max="6" width="10.7109375" style="25" customWidth="1"/>
    <col min="7" max="8" width="9.140625" style="25"/>
    <col min="9" max="9" width="11.28515625" style="25" customWidth="1"/>
    <col min="10" max="10" width="13.42578125" style="25" customWidth="1"/>
    <col min="11" max="11" width="19" style="25" customWidth="1"/>
    <col min="12" max="12" width="8.140625" style="25" customWidth="1"/>
    <col min="13" max="13" width="9.7109375" style="25" customWidth="1"/>
    <col min="14" max="16" width="9.7109375" style="25" hidden="1" customWidth="1"/>
    <col min="17" max="18" width="9.7109375" style="25" customWidth="1"/>
    <col min="19" max="16384" width="9.140625" style="25"/>
  </cols>
  <sheetData>
    <row r="1" spans="2:16" s="19" customFormat="1" x14ac:dyDescent="0.2">
      <c r="B1" s="333" t="s">
        <v>239</v>
      </c>
      <c r="C1" s="334"/>
      <c r="D1" s="334"/>
      <c r="E1" s="334"/>
      <c r="F1" s="334"/>
      <c r="G1" s="334"/>
      <c r="H1" s="334"/>
      <c r="I1" s="334"/>
    </row>
    <row r="2" spans="2:16" s="19" customFormat="1" ht="13.5" thickBot="1" x14ac:dyDescent="0.25"/>
    <row r="3" spans="2:16" x14ac:dyDescent="0.2">
      <c r="B3" s="20"/>
      <c r="C3" s="337" t="s">
        <v>55</v>
      </c>
      <c r="D3" s="338"/>
      <c r="E3" s="336" t="s">
        <v>52</v>
      </c>
      <c r="F3" s="336"/>
      <c r="G3" s="21"/>
      <c r="H3" s="22"/>
      <c r="I3" s="21"/>
      <c r="J3" s="21"/>
      <c r="K3" s="23"/>
      <c r="L3" s="24"/>
    </row>
    <row r="4" spans="2:16" ht="13.5" thickBot="1" x14ac:dyDescent="0.25">
      <c r="B4" s="4" t="s">
        <v>50</v>
      </c>
      <c r="C4" s="339"/>
      <c r="D4" s="340"/>
      <c r="E4" s="335" t="s">
        <v>70</v>
      </c>
      <c r="F4" s="335"/>
      <c r="G4" s="5" t="s">
        <v>5</v>
      </c>
      <c r="H4" s="4" t="s">
        <v>6</v>
      </c>
      <c r="I4" s="5" t="s">
        <v>7</v>
      </c>
      <c r="J4" s="5" t="s">
        <v>8</v>
      </c>
      <c r="K4" s="9" t="s">
        <v>9</v>
      </c>
      <c r="L4" s="26"/>
    </row>
    <row r="5" spans="2:16" ht="13.5" thickBot="1" x14ac:dyDescent="0.25">
      <c r="B5" s="27"/>
      <c r="C5" s="341"/>
      <c r="D5" s="342"/>
      <c r="E5" s="7" t="s">
        <v>53</v>
      </c>
      <c r="F5" s="8" t="s">
        <v>54</v>
      </c>
      <c r="G5" s="28"/>
      <c r="H5" s="27"/>
      <c r="I5" s="6" t="s">
        <v>230</v>
      </c>
      <c r="J5" s="6" t="s">
        <v>230</v>
      </c>
      <c r="K5" s="29"/>
      <c r="L5" s="24"/>
    </row>
    <row r="6" spans="2:16" x14ac:dyDescent="0.2">
      <c r="B6" s="3" t="s">
        <v>10</v>
      </c>
      <c r="C6" s="30"/>
      <c r="D6" s="31"/>
      <c r="E6" s="30"/>
      <c r="F6" s="30"/>
      <c r="G6" s="30"/>
      <c r="H6" s="30"/>
      <c r="I6" s="30"/>
      <c r="J6" s="31"/>
      <c r="K6" s="32"/>
      <c r="L6" s="33"/>
      <c r="P6" s="34"/>
    </row>
    <row r="7" spans="2:16" x14ac:dyDescent="0.2">
      <c r="B7" s="35" t="s">
        <v>56</v>
      </c>
      <c r="C7" s="36" t="s">
        <v>122</v>
      </c>
      <c r="D7" s="37">
        <v>1</v>
      </c>
      <c r="E7" s="38">
        <v>0.55000000000000004</v>
      </c>
      <c r="F7" s="38">
        <v>0.55000000000000004</v>
      </c>
      <c r="G7" s="39">
        <v>2</v>
      </c>
      <c r="H7" s="36" t="s">
        <v>69</v>
      </c>
      <c r="I7" s="40">
        <f>P11</f>
        <v>4.5999999999999996</v>
      </c>
      <c r="J7" s="41">
        <f>(G7*I7)+(E7*P12)</f>
        <v>15.25</v>
      </c>
      <c r="K7" s="42" t="s">
        <v>37</v>
      </c>
      <c r="L7" s="33"/>
      <c r="P7" s="34"/>
    </row>
    <row r="8" spans="2:16" x14ac:dyDescent="0.2">
      <c r="B8" s="35" t="s">
        <v>11</v>
      </c>
      <c r="C8" s="36" t="s">
        <v>58</v>
      </c>
      <c r="D8" s="37"/>
      <c r="E8" s="38">
        <v>0.36</v>
      </c>
      <c r="F8" s="38">
        <v>0.36</v>
      </c>
      <c r="G8" s="39">
        <v>1.5</v>
      </c>
      <c r="H8" s="36" t="s">
        <v>69</v>
      </c>
      <c r="I8" s="40">
        <f>P11</f>
        <v>4.5999999999999996</v>
      </c>
      <c r="J8" s="41">
        <f>(I8*G8)+(P12*E8)</f>
        <v>10.86</v>
      </c>
      <c r="K8" s="42" t="s">
        <v>39</v>
      </c>
      <c r="L8" s="33"/>
      <c r="P8" s="34"/>
    </row>
    <row r="9" spans="2:16" x14ac:dyDescent="0.2">
      <c r="B9" s="35" t="s">
        <v>13</v>
      </c>
      <c r="C9" s="36" t="s">
        <v>113</v>
      </c>
      <c r="D9" s="37">
        <v>1</v>
      </c>
      <c r="E9" s="38">
        <v>0.26</v>
      </c>
      <c r="F9" s="38">
        <v>0.26</v>
      </c>
      <c r="G9" s="39">
        <v>1</v>
      </c>
      <c r="H9" s="36" t="s">
        <v>69</v>
      </c>
      <c r="I9" s="40">
        <f>P11</f>
        <v>4.5999999999999996</v>
      </c>
      <c r="J9" s="41">
        <f>(I9*G9)</f>
        <v>4.5999999999999996</v>
      </c>
      <c r="K9" s="42" t="s">
        <v>40</v>
      </c>
      <c r="L9" s="33"/>
      <c r="P9" s="34"/>
    </row>
    <row r="10" spans="2:16" ht="13.5" thickBot="1" x14ac:dyDescent="0.25">
      <c r="B10" s="43" t="s">
        <v>13</v>
      </c>
      <c r="C10" s="44" t="s">
        <v>113</v>
      </c>
      <c r="D10" s="45"/>
      <c r="E10" s="46">
        <v>0.2</v>
      </c>
      <c r="F10" s="46"/>
      <c r="G10" s="47"/>
      <c r="H10" s="44" t="s">
        <v>44</v>
      </c>
      <c r="I10" s="48">
        <f>P12</f>
        <v>11</v>
      </c>
      <c r="J10" s="41">
        <f>P12*E10</f>
        <v>2.2000000000000002</v>
      </c>
      <c r="K10" s="49" t="s">
        <v>41</v>
      </c>
      <c r="L10" s="33"/>
      <c r="P10" s="25" t="s">
        <v>222</v>
      </c>
    </row>
    <row r="11" spans="2:16" ht="13.5" thickBot="1" x14ac:dyDescent="0.25">
      <c r="B11" s="50" t="s">
        <v>14</v>
      </c>
      <c r="C11" s="51"/>
      <c r="D11" s="52"/>
      <c r="E11" s="53">
        <f>SUM(E7:E10)</f>
        <v>1.3699999999999999</v>
      </c>
      <c r="F11" s="54">
        <f>SUM(F7:F10)</f>
        <v>1.17</v>
      </c>
      <c r="G11" s="55"/>
      <c r="H11" s="52"/>
      <c r="I11" s="56"/>
      <c r="J11" s="57">
        <f>SUM(J7:J10)</f>
        <v>32.910000000000004</v>
      </c>
      <c r="K11" s="58"/>
      <c r="L11" s="33"/>
      <c r="N11" s="25" t="s">
        <v>87</v>
      </c>
      <c r="P11" s="34">
        <v>4.5999999999999996</v>
      </c>
    </row>
    <row r="12" spans="2:16" x14ac:dyDescent="0.2">
      <c r="B12" s="3" t="s">
        <v>15</v>
      </c>
      <c r="C12" s="59"/>
      <c r="D12" s="60"/>
      <c r="E12" s="61"/>
      <c r="F12" s="61"/>
      <c r="G12" s="62"/>
      <c r="H12" s="59"/>
      <c r="I12" s="63"/>
      <c r="J12" s="63"/>
      <c r="K12" s="32"/>
      <c r="L12" s="33"/>
      <c r="N12" s="25" t="s">
        <v>177</v>
      </c>
      <c r="P12" s="34">
        <v>11</v>
      </c>
    </row>
    <row r="13" spans="2:16" x14ac:dyDescent="0.2">
      <c r="B13" s="64" t="s">
        <v>16</v>
      </c>
      <c r="C13" s="65" t="s">
        <v>58</v>
      </c>
      <c r="D13" s="66">
        <v>1</v>
      </c>
      <c r="E13" s="67">
        <v>0.06</v>
      </c>
      <c r="F13" s="67">
        <v>0.06</v>
      </c>
      <c r="G13" s="68">
        <v>0.5</v>
      </c>
      <c r="H13" s="65" t="s">
        <v>69</v>
      </c>
      <c r="I13" s="69">
        <f>P11</f>
        <v>4.5999999999999996</v>
      </c>
      <c r="J13" s="41">
        <f>(P12*E13)+(G13*I13)</f>
        <v>2.96</v>
      </c>
      <c r="K13" s="70" t="s">
        <v>42</v>
      </c>
      <c r="L13" s="33"/>
      <c r="N13" s="25" t="s">
        <v>178</v>
      </c>
      <c r="P13" s="34">
        <v>7.5</v>
      </c>
    </row>
    <row r="14" spans="2:16" x14ac:dyDescent="0.2">
      <c r="B14" s="35" t="s">
        <v>16</v>
      </c>
      <c r="C14" s="36" t="s">
        <v>58</v>
      </c>
      <c r="D14" s="37"/>
      <c r="E14" s="38">
        <v>0.09</v>
      </c>
      <c r="F14" s="38"/>
      <c r="G14" s="39"/>
      <c r="H14" s="36" t="s">
        <v>44</v>
      </c>
      <c r="I14" s="40">
        <f>P12</f>
        <v>11</v>
      </c>
      <c r="J14" s="40">
        <f>I14*E14</f>
        <v>0.99</v>
      </c>
      <c r="K14" s="42" t="s">
        <v>41</v>
      </c>
      <c r="L14" s="33"/>
      <c r="N14" s="25" t="s">
        <v>21</v>
      </c>
      <c r="P14" s="34">
        <v>30</v>
      </c>
    </row>
    <row r="15" spans="2:16" x14ac:dyDescent="0.2">
      <c r="B15" s="64" t="s">
        <v>17</v>
      </c>
      <c r="C15" s="65" t="s">
        <v>113</v>
      </c>
      <c r="D15" s="66">
        <v>1</v>
      </c>
      <c r="E15" s="67">
        <v>0.09</v>
      </c>
      <c r="F15" s="67">
        <v>0.09</v>
      </c>
      <c r="G15" s="68">
        <v>0.5</v>
      </c>
      <c r="H15" s="65" t="s">
        <v>69</v>
      </c>
      <c r="I15" s="69">
        <f>P11</f>
        <v>4.5999999999999996</v>
      </c>
      <c r="J15" s="41">
        <f>(G15*I15)</f>
        <v>2.2999999999999998</v>
      </c>
      <c r="K15" s="70" t="s">
        <v>43</v>
      </c>
      <c r="L15" s="33"/>
      <c r="N15" s="25" t="s">
        <v>28</v>
      </c>
      <c r="P15" s="34">
        <v>45</v>
      </c>
    </row>
    <row r="16" spans="2:16" ht="13.5" thickBot="1" x14ac:dyDescent="0.25">
      <c r="B16" s="35" t="s">
        <v>17</v>
      </c>
      <c r="C16" s="36" t="s">
        <v>113</v>
      </c>
      <c r="D16" s="37"/>
      <c r="E16" s="38">
        <v>0.09</v>
      </c>
      <c r="F16" s="72"/>
      <c r="G16" s="39"/>
      <c r="H16" s="36" t="s">
        <v>44</v>
      </c>
      <c r="I16" s="40">
        <f>P12</f>
        <v>11</v>
      </c>
      <c r="J16" s="41">
        <f>(I16*E16)</f>
        <v>0.99</v>
      </c>
      <c r="K16" s="73" t="s">
        <v>41</v>
      </c>
      <c r="L16" s="33"/>
      <c r="N16" s="25" t="s">
        <v>79</v>
      </c>
      <c r="O16" s="71"/>
      <c r="P16" s="34">
        <v>1.5</v>
      </c>
    </row>
    <row r="17" spans="2:26" ht="13.5" thickBot="1" x14ac:dyDescent="0.25">
      <c r="B17" s="50" t="s">
        <v>14</v>
      </c>
      <c r="C17" s="75"/>
      <c r="D17" s="76"/>
      <c r="E17" s="54">
        <f>SUM(E13:E16)</f>
        <v>0.32999999999999996</v>
      </c>
      <c r="F17" s="54">
        <f>SUM(F13:F16)</f>
        <v>0.15</v>
      </c>
      <c r="G17" s="77"/>
      <c r="H17" s="51"/>
      <c r="I17" s="78"/>
      <c r="J17" s="57">
        <f>SUM(J13:J16)</f>
        <v>7.24</v>
      </c>
      <c r="K17" s="58"/>
      <c r="L17" s="33"/>
      <c r="N17" s="25" t="s">
        <v>131</v>
      </c>
      <c r="P17" s="34">
        <v>18</v>
      </c>
      <c r="Q17" s="74"/>
    </row>
    <row r="18" spans="2:26" x14ac:dyDescent="0.2">
      <c r="B18" s="3" t="s">
        <v>18</v>
      </c>
      <c r="C18" s="30"/>
      <c r="D18" s="31"/>
      <c r="E18" s="61"/>
      <c r="F18" s="61"/>
      <c r="G18" s="62"/>
      <c r="H18" s="59"/>
      <c r="I18" s="63"/>
      <c r="J18" s="63"/>
      <c r="K18" s="32"/>
      <c r="N18" s="25" t="s">
        <v>95</v>
      </c>
      <c r="P18" s="170">
        <v>10</v>
      </c>
    </row>
    <row r="19" spans="2:26" x14ac:dyDescent="0.2">
      <c r="B19" s="64" t="s">
        <v>19</v>
      </c>
      <c r="C19" s="65" t="s">
        <v>123</v>
      </c>
      <c r="D19" s="66">
        <v>1</v>
      </c>
      <c r="E19" s="67">
        <v>14</v>
      </c>
      <c r="F19" s="67"/>
      <c r="G19" s="68"/>
      <c r="H19" s="65" t="s">
        <v>44</v>
      </c>
      <c r="I19" s="69">
        <f>P13</f>
        <v>7.5</v>
      </c>
      <c r="J19" s="41">
        <f>I19*E19</f>
        <v>105</v>
      </c>
      <c r="K19" s="70" t="s">
        <v>125</v>
      </c>
      <c r="L19" s="33"/>
      <c r="N19" s="25" t="s">
        <v>96</v>
      </c>
      <c r="P19" s="174">
        <v>10</v>
      </c>
    </row>
    <row r="20" spans="2:26" x14ac:dyDescent="0.2">
      <c r="B20" s="64" t="s">
        <v>124</v>
      </c>
      <c r="C20" s="65" t="s">
        <v>123</v>
      </c>
      <c r="D20" s="79"/>
      <c r="E20" s="67">
        <v>0.2</v>
      </c>
      <c r="F20" s="67">
        <v>0.6</v>
      </c>
      <c r="G20" s="68"/>
      <c r="H20" s="65" t="s">
        <v>44</v>
      </c>
      <c r="I20" s="69">
        <v>3</v>
      </c>
      <c r="J20" s="40">
        <f>(I20*F20)+(P12*E20)</f>
        <v>4</v>
      </c>
      <c r="K20" s="70" t="s">
        <v>126</v>
      </c>
      <c r="L20" s="33"/>
    </row>
    <row r="21" spans="2:26" ht="13.5" thickBot="1" x14ac:dyDescent="0.25">
      <c r="B21" s="43" t="s">
        <v>21</v>
      </c>
      <c r="C21" s="44" t="s">
        <v>123</v>
      </c>
      <c r="D21" s="80"/>
      <c r="E21" s="81">
        <v>0.05</v>
      </c>
      <c r="F21" s="81">
        <v>0.05</v>
      </c>
      <c r="G21" s="47"/>
      <c r="H21" s="44" t="s">
        <v>45</v>
      </c>
      <c r="I21" s="82">
        <f>P14/2000</f>
        <v>1.4999999999999999E-2</v>
      </c>
      <c r="J21" s="40">
        <f>I21*E39</f>
        <v>1.2749999999999999</v>
      </c>
      <c r="K21" s="83" t="s">
        <v>47</v>
      </c>
      <c r="L21" s="33"/>
      <c r="O21" s="71"/>
      <c r="Q21" s="71"/>
    </row>
    <row r="22" spans="2:26" ht="13.5" thickBot="1" x14ac:dyDescent="0.25">
      <c r="B22" s="22" t="s">
        <v>14</v>
      </c>
      <c r="C22" s="75"/>
      <c r="D22" s="86"/>
      <c r="E22" s="87">
        <f>SUM(E19:E21)</f>
        <v>14.25</v>
      </c>
      <c r="F22" s="87">
        <f>SUM(F19:F21)</f>
        <v>0.65</v>
      </c>
      <c r="G22" s="75"/>
      <c r="H22" s="88"/>
      <c r="I22" s="89"/>
      <c r="J22" s="57">
        <f>SUM(J19:J21)</f>
        <v>110.27500000000001</v>
      </c>
      <c r="K22" s="90"/>
      <c r="L22" s="33"/>
      <c r="O22" s="71"/>
      <c r="P22" s="33"/>
      <c r="Q22" s="24"/>
      <c r="R22" s="24"/>
      <c r="S22" s="84"/>
      <c r="T22" s="84"/>
      <c r="U22" s="33"/>
      <c r="V22" s="24"/>
      <c r="W22" s="85"/>
      <c r="X22" s="85"/>
      <c r="Y22" s="33"/>
      <c r="Z22" s="33"/>
    </row>
    <row r="23" spans="2:26" x14ac:dyDescent="0.2">
      <c r="B23" s="3" t="s">
        <v>22</v>
      </c>
      <c r="C23" s="91"/>
      <c r="D23" s="30"/>
      <c r="E23" s="30"/>
      <c r="F23" s="30"/>
      <c r="G23" s="30"/>
      <c r="H23" s="59"/>
      <c r="I23" s="63"/>
      <c r="J23" s="63"/>
      <c r="K23" s="32"/>
      <c r="L23" s="33"/>
      <c r="O23" s="71"/>
      <c r="Q23" s="71"/>
    </row>
    <row r="24" spans="2:26" x14ac:dyDescent="0.2">
      <c r="B24" s="64" t="s">
        <v>23</v>
      </c>
      <c r="C24" s="93"/>
      <c r="D24" s="94"/>
      <c r="E24" s="94"/>
      <c r="F24" s="94"/>
      <c r="G24" s="68">
        <f>P19</f>
        <v>10</v>
      </c>
      <c r="H24" s="65" t="s">
        <v>45</v>
      </c>
      <c r="I24" s="69">
        <f>P18</f>
        <v>10</v>
      </c>
      <c r="J24" s="41">
        <f>(I24*G24)</f>
        <v>100</v>
      </c>
      <c r="K24" s="70" t="s">
        <v>77</v>
      </c>
      <c r="L24" s="33"/>
      <c r="O24" s="92"/>
      <c r="Q24" s="71"/>
    </row>
    <row r="25" spans="2:26" x14ac:dyDescent="0.2">
      <c r="B25" s="64" t="s">
        <v>74</v>
      </c>
      <c r="C25" s="93"/>
      <c r="D25" s="94"/>
      <c r="E25" s="94"/>
      <c r="F25" s="94"/>
      <c r="G25" s="68">
        <f>O28</f>
        <v>5</v>
      </c>
      <c r="H25" s="65" t="s">
        <v>45</v>
      </c>
      <c r="I25" s="69">
        <f>Q28</f>
        <v>0</v>
      </c>
      <c r="J25" s="41">
        <f>I25*G25</f>
        <v>0</v>
      </c>
      <c r="K25" s="70" t="s">
        <v>48</v>
      </c>
      <c r="L25" s="33"/>
    </row>
    <row r="26" spans="2:26" x14ac:dyDescent="0.2">
      <c r="B26" s="64" t="s">
        <v>75</v>
      </c>
      <c r="C26" s="93"/>
      <c r="D26" s="94"/>
      <c r="E26" s="94"/>
      <c r="F26" s="94"/>
      <c r="G26" s="68">
        <v>0</v>
      </c>
      <c r="H26" s="65" t="s">
        <v>45</v>
      </c>
      <c r="I26" s="69">
        <f>Q29</f>
        <v>0</v>
      </c>
      <c r="J26" s="41">
        <f>(I26*G26)</f>
        <v>0</v>
      </c>
      <c r="K26" s="70"/>
      <c r="L26" s="33"/>
    </row>
    <row r="27" spans="2:26" x14ac:dyDescent="0.2">
      <c r="B27" s="64" t="s">
        <v>79</v>
      </c>
      <c r="C27" s="93"/>
      <c r="D27" s="65">
        <v>1</v>
      </c>
      <c r="E27" s="94"/>
      <c r="F27" s="94"/>
      <c r="G27" s="68"/>
      <c r="H27" s="65" t="s">
        <v>69</v>
      </c>
      <c r="I27" s="69">
        <f>P16</f>
        <v>1.5</v>
      </c>
      <c r="J27" s="41">
        <f>I27*D27</f>
        <v>1.5</v>
      </c>
      <c r="K27" s="70" t="s">
        <v>80</v>
      </c>
      <c r="L27" s="33"/>
      <c r="O27" s="71" t="s">
        <v>84</v>
      </c>
      <c r="P27" s="71" t="s">
        <v>8</v>
      </c>
      <c r="Q27" s="71"/>
    </row>
    <row r="28" spans="2:26" ht="13.5" thickBot="1" x14ac:dyDescent="0.25">
      <c r="B28" s="35" t="s">
        <v>24</v>
      </c>
      <c r="C28" s="101"/>
      <c r="D28" s="97"/>
      <c r="E28" s="97"/>
      <c r="F28" s="97"/>
      <c r="G28" s="97">
        <v>3</v>
      </c>
      <c r="H28" s="36" t="s">
        <v>45</v>
      </c>
      <c r="I28" s="40">
        <f>P17</f>
        <v>18</v>
      </c>
      <c r="J28" s="41">
        <f>(I28*G28)</f>
        <v>54</v>
      </c>
      <c r="K28" s="42" t="s">
        <v>130</v>
      </c>
      <c r="L28" s="33"/>
      <c r="N28" s="33" t="s">
        <v>48</v>
      </c>
      <c r="O28" s="71">
        <v>5</v>
      </c>
      <c r="P28" s="34">
        <f>(Q28*O28)</f>
        <v>0</v>
      </c>
      <c r="Q28" s="74"/>
    </row>
    <row r="29" spans="2:26" ht="13.5" thickBot="1" x14ac:dyDescent="0.25">
      <c r="B29" s="50" t="s">
        <v>14</v>
      </c>
      <c r="C29" s="103"/>
      <c r="D29" s="76"/>
      <c r="E29" s="75"/>
      <c r="F29" s="75"/>
      <c r="G29" s="75"/>
      <c r="H29" s="75"/>
      <c r="I29" s="75"/>
      <c r="J29" s="57">
        <f>SUM(J24:J28)</f>
        <v>155.5</v>
      </c>
      <c r="K29" s="58"/>
      <c r="L29" s="33"/>
      <c r="O29" s="71">
        <v>0</v>
      </c>
      <c r="P29" s="34">
        <f>(Q29*O29)</f>
        <v>0</v>
      </c>
      <c r="Q29" s="74"/>
    </row>
    <row r="30" spans="2:26" ht="13.5" thickBot="1" x14ac:dyDescent="0.25">
      <c r="B30" s="50" t="s">
        <v>25</v>
      </c>
      <c r="C30" s="104"/>
      <c r="D30" s="76"/>
      <c r="E30" s="75"/>
      <c r="F30" s="75"/>
      <c r="G30" s="75"/>
      <c r="H30" s="75"/>
      <c r="I30" s="75"/>
      <c r="J30" s="57">
        <f>(J11+J17+J22+J29)</f>
        <v>305.92500000000001</v>
      </c>
      <c r="K30" s="58"/>
      <c r="L30" s="33"/>
      <c r="Q30" s="74"/>
    </row>
    <row r="31" spans="2:26" x14ac:dyDescent="0.2">
      <c r="B31" s="3" t="s">
        <v>26</v>
      </c>
      <c r="C31" s="91"/>
      <c r="D31" s="31"/>
      <c r="E31" s="30"/>
      <c r="F31" s="30"/>
      <c r="G31" s="30"/>
      <c r="H31" s="30"/>
      <c r="I31" s="30"/>
      <c r="J31" s="63"/>
      <c r="K31" s="32"/>
      <c r="L31" s="33"/>
    </row>
    <row r="32" spans="2:26" x14ac:dyDescent="0.2">
      <c r="B32" s="35" t="s">
        <v>27</v>
      </c>
      <c r="C32" s="95"/>
      <c r="D32" s="96"/>
      <c r="E32" s="97"/>
      <c r="F32" s="97"/>
      <c r="G32" s="97"/>
      <c r="H32" s="97"/>
      <c r="I32" s="97"/>
      <c r="J32" s="40">
        <f>J30*0.1</f>
        <v>30.592500000000001</v>
      </c>
      <c r="K32" s="42"/>
      <c r="L32" s="33"/>
    </row>
    <row r="33" spans="2:12" x14ac:dyDescent="0.2">
      <c r="B33" s="35" t="s">
        <v>28</v>
      </c>
      <c r="C33" s="95"/>
      <c r="D33" s="96"/>
      <c r="E33" s="97"/>
      <c r="F33" s="97"/>
      <c r="G33" s="97"/>
      <c r="H33" s="97"/>
      <c r="I33" s="97"/>
      <c r="J33" s="40">
        <f>P15</f>
        <v>45</v>
      </c>
      <c r="K33" s="42"/>
      <c r="L33" s="33"/>
    </row>
    <row r="34" spans="2:12" x14ac:dyDescent="0.2">
      <c r="B34" s="35" t="s">
        <v>29</v>
      </c>
      <c r="C34" s="95"/>
      <c r="D34" s="96"/>
      <c r="E34" s="97"/>
      <c r="F34" s="97"/>
      <c r="G34" s="97"/>
      <c r="H34" s="97"/>
      <c r="I34" s="97"/>
      <c r="J34" s="40">
        <f>((J30+J32+J33)*0.07)</f>
        <v>26.706225000000007</v>
      </c>
      <c r="K34" s="42"/>
      <c r="L34" s="33"/>
    </row>
    <row r="35" spans="2:12" x14ac:dyDescent="0.2">
      <c r="B35" s="105" t="s">
        <v>30</v>
      </c>
      <c r="C35" s="93"/>
      <c r="D35" s="106"/>
      <c r="E35" s="107"/>
      <c r="F35" s="107"/>
      <c r="G35" s="107"/>
      <c r="H35" s="107"/>
      <c r="I35" s="107"/>
      <c r="J35" s="108">
        <f>((J30+J32+J33)*0.03)</f>
        <v>11.445525</v>
      </c>
      <c r="K35" s="83"/>
      <c r="L35" s="33"/>
    </row>
    <row r="36" spans="2:12" ht="13.5" thickBot="1" x14ac:dyDescent="0.25">
      <c r="B36" s="109" t="s">
        <v>14</v>
      </c>
      <c r="C36" s="103"/>
      <c r="D36" s="110"/>
      <c r="E36" s="111"/>
      <c r="F36" s="111"/>
      <c r="G36" s="111"/>
      <c r="H36" s="111"/>
      <c r="I36" s="111"/>
      <c r="J36" s="112">
        <f>SUM(J32:J35)</f>
        <v>113.74425000000001</v>
      </c>
      <c r="K36" s="113"/>
      <c r="L36" s="33"/>
    </row>
    <row r="37" spans="2:12" ht="13.5" thickBot="1" x14ac:dyDescent="0.25">
      <c r="B37" s="2" t="s">
        <v>31</v>
      </c>
      <c r="C37" s="104"/>
      <c r="D37" s="76"/>
      <c r="E37" s="54"/>
      <c r="F37" s="54"/>
      <c r="G37" s="75"/>
      <c r="H37" s="75"/>
      <c r="I37" s="75"/>
      <c r="J37" s="57">
        <f>(J30+J36)</f>
        <v>419.66925000000003</v>
      </c>
      <c r="K37" s="58"/>
      <c r="L37" s="33"/>
    </row>
    <row r="38" spans="2:12" ht="13.5" thickBot="1" x14ac:dyDescent="0.25">
      <c r="B38" s="33"/>
      <c r="C38" s="33"/>
      <c r="D38" s="33"/>
      <c r="E38" s="114"/>
      <c r="F38" s="114"/>
      <c r="G38" s="33"/>
      <c r="H38" s="33"/>
      <c r="I38" s="33"/>
      <c r="J38" s="33"/>
      <c r="K38" s="33"/>
      <c r="L38" s="33"/>
    </row>
    <row r="39" spans="2:12" x14ac:dyDescent="0.2">
      <c r="B39" s="115" t="s">
        <v>32</v>
      </c>
      <c r="C39" s="116" t="s">
        <v>67</v>
      </c>
      <c r="D39" s="60"/>
      <c r="E39" s="117">
        <v>85</v>
      </c>
      <c r="F39" s="60"/>
      <c r="G39" s="118"/>
      <c r="H39" s="118"/>
      <c r="I39" s="118"/>
      <c r="J39" s="118"/>
      <c r="K39" s="32"/>
      <c r="L39" s="33"/>
    </row>
    <row r="40" spans="2:12" x14ac:dyDescent="0.2">
      <c r="B40" s="35" t="s">
        <v>33</v>
      </c>
      <c r="C40" s="119" t="s">
        <v>68</v>
      </c>
      <c r="D40" s="119"/>
      <c r="E40" s="120">
        <v>0</v>
      </c>
      <c r="F40" s="121"/>
      <c r="G40" s="33"/>
      <c r="H40" s="33"/>
      <c r="I40" s="33"/>
      <c r="J40" s="33"/>
      <c r="K40" s="83"/>
      <c r="L40" s="33"/>
    </row>
    <row r="41" spans="2:12" x14ac:dyDescent="0.2">
      <c r="B41" s="35" t="s">
        <v>34</v>
      </c>
      <c r="C41" s="119" t="s">
        <v>68</v>
      </c>
      <c r="D41" s="119"/>
      <c r="E41" s="120">
        <f>(J37-E40)</f>
        <v>419.66925000000003</v>
      </c>
      <c r="F41" s="121"/>
      <c r="G41" s="122"/>
      <c r="H41" s="122"/>
      <c r="I41" s="122"/>
      <c r="J41" s="122"/>
      <c r="K41" s="42"/>
      <c r="L41" s="33"/>
    </row>
    <row r="42" spans="2:12" x14ac:dyDescent="0.2">
      <c r="B42" s="35" t="s">
        <v>34</v>
      </c>
      <c r="C42" s="119" t="s">
        <v>35</v>
      </c>
      <c r="D42" s="119"/>
      <c r="E42" s="120">
        <f>(E41/E39)</f>
        <v>4.9372852941176477</v>
      </c>
      <c r="F42" s="121"/>
      <c r="G42" s="33"/>
      <c r="H42" s="33"/>
      <c r="I42" s="33"/>
      <c r="J42" s="33"/>
      <c r="K42" s="83"/>
      <c r="L42" s="33"/>
    </row>
    <row r="43" spans="2:12" ht="13.5" thickBot="1" x14ac:dyDescent="0.25">
      <c r="B43" s="109" t="s">
        <v>81</v>
      </c>
      <c r="C43" s="123" t="s">
        <v>35</v>
      </c>
      <c r="D43" s="123"/>
      <c r="E43" s="124">
        <f>E42*1.3</f>
        <v>6.4184708823529419</v>
      </c>
      <c r="F43" s="125"/>
      <c r="G43" s="99"/>
      <c r="H43" s="99"/>
      <c r="I43" s="99"/>
      <c r="J43" s="99"/>
      <c r="K43" s="126"/>
      <c r="L43" s="33"/>
    </row>
    <row r="44" spans="2:12" x14ac:dyDescent="0.2">
      <c r="L44" s="33"/>
    </row>
    <row r="45" spans="2:12" x14ac:dyDescent="0.2">
      <c r="B45" s="25" t="s">
        <v>82</v>
      </c>
      <c r="C45" s="24"/>
      <c r="D45" s="24"/>
      <c r="E45" s="127"/>
      <c r="F45" s="127"/>
      <c r="G45" s="33"/>
      <c r="H45" s="33"/>
      <c r="I45" s="33"/>
      <c r="J45" s="33"/>
      <c r="K45" s="33"/>
      <c r="L45" s="33"/>
    </row>
    <row r="46" spans="2:12" x14ac:dyDescent="0.2">
      <c r="B46" s="25" t="s">
        <v>217</v>
      </c>
      <c r="C46" s="24"/>
      <c r="D46" s="24"/>
      <c r="E46" s="127"/>
      <c r="F46" s="127"/>
      <c r="G46" s="33"/>
      <c r="H46" s="33"/>
      <c r="I46" s="33"/>
      <c r="J46" s="33"/>
      <c r="K46" s="33"/>
      <c r="L46" s="33"/>
    </row>
    <row r="47" spans="2:12" x14ac:dyDescent="0.2">
      <c r="L47" s="33"/>
    </row>
    <row r="48" spans="2:12" x14ac:dyDescent="0.2">
      <c r="L48" s="33"/>
    </row>
    <row r="49" spans="12:12" x14ac:dyDescent="0.2">
      <c r="L49" s="33"/>
    </row>
    <row r="71" spans="9:10" x14ac:dyDescent="0.2">
      <c r="I71" s="343"/>
      <c r="J71" s="343"/>
    </row>
    <row r="72" spans="9:10" x14ac:dyDescent="0.2">
      <c r="I72" s="332"/>
      <c r="J72" s="332"/>
    </row>
    <row r="73" spans="9:10" x14ac:dyDescent="0.2">
      <c r="I73" s="332"/>
      <c r="J73" s="332"/>
    </row>
    <row r="74" spans="9:10" x14ac:dyDescent="0.2">
      <c r="I74" s="332"/>
      <c r="J74" s="332"/>
    </row>
    <row r="75" spans="9:10" x14ac:dyDescent="0.2">
      <c r="I75" s="332"/>
      <c r="J75" s="332"/>
    </row>
    <row r="76" spans="9:10" x14ac:dyDescent="0.2">
      <c r="I76" s="332"/>
      <c r="J76" s="332"/>
    </row>
    <row r="77" spans="9:10" x14ac:dyDescent="0.2">
      <c r="I77" s="332"/>
      <c r="J77" s="332"/>
    </row>
  </sheetData>
  <mergeCells count="11">
    <mergeCell ref="I77:J77"/>
    <mergeCell ref="I71:J71"/>
    <mergeCell ref="I72:J72"/>
    <mergeCell ref="I73:J73"/>
    <mergeCell ref="I74:J74"/>
    <mergeCell ref="I76:J76"/>
    <mergeCell ref="B1:I1"/>
    <mergeCell ref="C3:D5"/>
    <mergeCell ref="E3:F3"/>
    <mergeCell ref="E4:F4"/>
    <mergeCell ref="I75:J75"/>
  </mergeCells>
  <phoneticPr fontId="2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5" orientation="landscape" r:id="rId1"/>
  <headerFooter alignWithMargins="0"/>
  <ignoredErrors>
    <ignoredError sqref="J25 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17</vt:i4>
      </vt:variant>
    </vt:vector>
  </HeadingPairs>
  <TitlesOfParts>
    <vt:vector size="37" baseType="lpstr">
      <vt:lpstr>Arpa K</vt:lpstr>
      <vt:lpstr>Arpa S</vt:lpstr>
      <vt:lpstr>Buğday K</vt:lpstr>
      <vt:lpstr>Buğday S</vt:lpstr>
      <vt:lpstr>Çavdar</vt:lpstr>
      <vt:lpstr>Pancar</vt:lpstr>
      <vt:lpstr>Ayçiçeği S</vt:lpstr>
      <vt:lpstr>Nohut K</vt:lpstr>
      <vt:lpstr>Y.Mercimek K</vt:lpstr>
      <vt:lpstr>S.Mısır</vt:lpstr>
      <vt:lpstr>D.Mısır S </vt:lpstr>
      <vt:lpstr>Domates</vt:lpstr>
      <vt:lpstr>Fasulye S</vt:lpstr>
      <vt:lpstr>Haşhaş K</vt:lpstr>
      <vt:lpstr>Kanola S</vt:lpstr>
      <vt:lpstr>Aspir K</vt:lpstr>
      <vt:lpstr>Aspir S</vt:lpstr>
      <vt:lpstr>Patates</vt:lpstr>
      <vt:lpstr>K.Soğan S</vt:lpstr>
      <vt:lpstr>Maliyet</vt:lpstr>
      <vt:lpstr>'Arpa K'!Yazdırma_Alanı</vt:lpstr>
      <vt:lpstr>'Arpa S'!Yazdırma_Alanı</vt:lpstr>
      <vt:lpstr>'Aspir K'!Yazdırma_Alanı</vt:lpstr>
      <vt:lpstr>'Aspir S'!Yazdırma_Alanı</vt:lpstr>
      <vt:lpstr>'Ayçiçeği S'!Yazdırma_Alanı</vt:lpstr>
      <vt:lpstr>'Buğday K'!Yazdırma_Alanı</vt:lpstr>
      <vt:lpstr>'Buğday S'!Yazdırma_Alanı</vt:lpstr>
      <vt:lpstr>'D.Mısır S '!Yazdırma_Alanı</vt:lpstr>
      <vt:lpstr>Domates!Yazdırma_Alanı</vt:lpstr>
      <vt:lpstr>'Fasulye S'!Yazdırma_Alanı</vt:lpstr>
      <vt:lpstr>'Haşhaş K'!Yazdırma_Alanı</vt:lpstr>
      <vt:lpstr>'K.Soğan S'!Yazdırma_Alanı</vt:lpstr>
      <vt:lpstr>'Kanola S'!Yazdırma_Alanı</vt:lpstr>
      <vt:lpstr>Maliyet!Yazdırma_Alanı</vt:lpstr>
      <vt:lpstr>'Nohut K'!Yazdırma_Alanı</vt:lpstr>
      <vt:lpstr>Pancar!Yazdırma_Alanı</vt:lpstr>
      <vt:lpstr>'Y.Mercimek 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Erhan Türkseven</dc:creator>
  <cp:lastModifiedBy>Hasim</cp:lastModifiedBy>
  <cp:lastPrinted>2016-08-05T07:43:32Z</cp:lastPrinted>
  <dcterms:created xsi:type="dcterms:W3CDTF">2000-07-27T09:55:52Z</dcterms:created>
  <dcterms:modified xsi:type="dcterms:W3CDTF">2017-04-28T06:01:04Z</dcterms:modified>
</cp:coreProperties>
</file>